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List1" sheetId="1" r:id="rId1"/>
    <sheet name="Rekapitulace stavby" sheetId="2" r:id="rId2"/>
    <sheet name="sku6 - Oprava fasády domu..." sheetId="3" r:id="rId3"/>
  </sheets>
  <definedNames>
    <definedName name="_xlnm.Print_Titles" localSheetId="1">'Rekapitulace stavby'!$85:$85</definedName>
    <definedName name="_xlnm.Print_Titles" localSheetId="2">'sku6 - Oprava fasády domu...'!$133:$133</definedName>
    <definedName name="_xlnm.Print_Area" localSheetId="1">'Rekapitulace stavby'!$C$4:$AP$70,'Rekapitulace stavby'!$C$76:$AP$105</definedName>
    <definedName name="_xlnm.Print_Area" localSheetId="2">'sku6 - Oprava fasády domu...'!$C$4:$Q$70,'sku6 - Oprava fasády domu...'!$C$76:$Q$118,'sku6 - Oprava fasády domu...'!$C$124:$Q$354</definedName>
  </definedNames>
  <calcPr fullCalcOnLoad="1"/>
</workbook>
</file>

<file path=xl/sharedStrings.xml><?xml version="1.0" encoding="utf-8"?>
<sst xmlns="http://schemas.openxmlformats.org/spreadsheetml/2006/main" count="2669" uniqueCount="779">
  <si>
    <t>2012</t>
  </si>
  <si>
    <t>List obsahuje:</t>
  </si>
  <si>
    <t>1.0</t>
  </si>
  <si>
    <t>False</t>
  </si>
  <si>
    <t>optimalizováno pro tisk sestav ve formátu A4 - na výšku</t>
  </si>
  <si>
    <t>&gt;&gt;  skryté sloupce  &lt;&lt;</t>
  </si>
  <si>
    <t>0,01</t>
  </si>
  <si>
    <t>20</t>
  </si>
  <si>
    <t>14</t>
  </si>
  <si>
    <t>SOUHRNNÝ LIST STAVBY</t>
  </si>
  <si>
    <t>v ---  níže se nacházejí doplnkové a pomocné údaje k sestavám  --- v</t>
  </si>
  <si>
    <t>Návod na vyplnění</t>
  </si>
  <si>
    <t>0,001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</si>
  <si>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Rozpočet
       - ceny u položek
       - množství, pokud má žluté podbarvení
       - a v případe potřeby poznámku (ta je v skrytém sloupci)</t>
  </si>
  <si>
    <t>Stavba:</t>
  </si>
  <si>
    <t>sku6 - Oprava fasády domu a částečná výměna oken Tavičská 34</t>
  </si>
  <si>
    <t>0,1</t>
  </si>
  <si>
    <t>1</t>
  </si>
  <si>
    <t>Místo:</t>
  </si>
  <si>
    <t>Ostrava</t>
  </si>
  <si>
    <t>Datum:</t>
  </si>
  <si>
    <t>21.08.2012</t>
  </si>
  <si>
    <t>10</t>
  </si>
  <si>
    <t>100</t>
  </si>
  <si>
    <t>Objednavatel:</t>
  </si>
  <si>
    <t>IČ:</t>
  </si>
  <si>
    <t>SMO Městský obvod Vítkovice,Mírové náměstí 1</t>
  </si>
  <si>
    <t>DIČ:</t>
  </si>
  <si>
    <t>Zhotovitel:</t>
  </si>
  <si>
    <t>Vyplň údaj</t>
  </si>
  <si>
    <t>Projektant:</t>
  </si>
  <si>
    <t>VS PROJEKT s.r.o.,Na Obvodu 45,703 00 Ostrava</t>
  </si>
  <si>
    <t>Zpracovatel:</t>
  </si>
  <si>
    <t>Beránek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</si>
  <si>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</si>
  <si>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</si>
  <si>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</si>
  <si>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</si>
  <si>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</si>
  <si>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</si>
  <si>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</si>
  <si>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přenesena</t>
  </si>
  <si>
    <t>sníž. přenesena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</si>
  <si>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</si>
  <si>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</si>
  <si>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</si>
  <si>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</si>
  <si>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</si>
  <si>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</si>
  <si>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</si>
  <si>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</si>
  <si>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</si>
  <si>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</si>
  <si>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</si>
  <si>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</si>
  <si>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</si>
  <si>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</si>
  <si>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</si>
  <si>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</si>
  <si>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</si>
  <si>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</si>
  <si>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</si>
  <si>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</si>
  <si>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</si>
  <si>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přenesena
[CZK]</t>
  </si>
  <si>
    <t>DPH snížená přenesena
[CZK]</t>
  </si>
  <si>
    <t>Základna
DPH základní</t>
  </si>
  <si>
    <t>Základna
DPH snížená</t>
  </si>
  <si>
    <t>Základna
DPH zákl. přenesena</t>
  </si>
  <si>
    <t>Základna
DPH sníž. přenesena</t>
  </si>
  <si>
    <t>Základna
DPH nulová</t>
  </si>
  <si>
    <t>1) Náklady z rozpočtů</t>
  </si>
  <si>
    <t>D</t>
  </si>
  <si>
    <t>0</t>
  </si>
  <si>
    <t>IMPORT</t>
  </si>
  <si>
    <t>{3778091F-59DF-4963-9B4F-290CF42D4A83}</t>
  </si>
  <si>
    <t>{00000000-0000-0000-0000-000000000000}</t>
  </si>
  <si>
    <t>sku6</t>
  </si>
  <si>
    <t>Oprava fasády domu a částečná výměna oken Tavičská 34</t>
  </si>
  <si>
    <t>###NOINSERT###</t>
  </si>
  <si>
    <t>2) Ostatní náklady ze souhrnného listu</t>
  </si>
  <si>
    <t>Procent. zadání
[% nákladů rozpočtu]</t>
  </si>
  <si>
    <t>Zařazení nákladů</t>
  </si>
  <si>
    <t>Projektové práce</t>
  </si>
  <si>
    <t>stavební čast</t>
  </si>
  <si>
    <t>OSTATNENAKLADY</t>
  </si>
  <si>
    <t>Průzkumné práce</t>
  </si>
  <si>
    <t>Stroje, zařízení, inventář</t>
  </si>
  <si>
    <t>Umělecká díla</t>
  </si>
  <si>
    <t>Vedlejší náklady</t>
  </si>
  <si>
    <t>Ostatní náklady</t>
  </si>
  <si>
    <t>H. Rezerva</t>
  </si>
  <si>
    <t>I. Ostatní investice</t>
  </si>
  <si>
    <t>Nehmotný investiční majetek</t>
  </si>
  <si>
    <t>Provozní náklady</t>
  </si>
  <si>
    <t>Vyplň vlastní</t>
  </si>
  <si>
    <t>OSTATNENAKLADYVLASTNE</t>
  </si>
  <si>
    <t>Celkové náklady za stavbu 1) + 2)</t>
  </si>
  <si>
    <t>Zpět na list:</t>
  </si>
  <si>
    <t>f1</t>
  </si>
  <si>
    <t>plocha maleb</t>
  </si>
  <si>
    <t xml:space="preserve"> </t>
  </si>
  <si>
    <t>111,55</t>
  </si>
  <si>
    <t>2</t>
  </si>
  <si>
    <t>f2</t>
  </si>
  <si>
    <t>rýha 600</t>
  </si>
  <si>
    <t>2,9</t>
  </si>
  <si>
    <t>KRYCÍ LIST ROZPOČTU</t>
  </si>
  <si>
    <t>f3</t>
  </si>
  <si>
    <t>polystyrén 30mm</t>
  </si>
  <si>
    <t>211,6</t>
  </si>
  <si>
    <t>f4</t>
  </si>
  <si>
    <t>lišta</t>
  </si>
  <si>
    <t>338</t>
  </si>
  <si>
    <t>f5</t>
  </si>
  <si>
    <t>rýha 2000</t>
  </si>
  <si>
    <t>4</t>
  </si>
  <si>
    <t>f6</t>
  </si>
  <si>
    <t>odvoz</t>
  </si>
  <si>
    <t>6,9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</si>
  <si>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</si>
  <si>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</si>
  <si>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</si>
  <si>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</si>
  <si>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</si>
  <si>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</si>
  <si>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</si>
  <si>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</si>
  <si>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</si>
  <si>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</si>
  <si>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</t>
  </si>
  <si>
    <t xml:space="preserve">    6 - Úpravy povrchu, podlahy, osazení</t>
  </si>
  <si>
    <t xml:space="preserve">    9 - Ostatní konstrukce a práce-bourání</t>
  </si>
  <si>
    <t xml:space="preserve">      99 -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</si>
  <si>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</si>
  <si>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</si>
  <si>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</si>
  <si>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721 - Zdravotechnika - vnitřní kanalizace</t>
  </si>
  <si>
    <t xml:space="preserve">    762 - Konstrukce tesařské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</si>
  <si>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</si>
  <si>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</si>
  <si>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</si>
  <si>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783 - Dokončovací práce - nátěry</t>
  </si>
  <si>
    <t xml:space="preserve">    784 - Dokončovací práce - malby</t>
  </si>
  <si>
    <t>M - Práce a dodávky M</t>
  </si>
  <si>
    <t xml:space="preserve">    21-M - Elektromontáže</t>
  </si>
  <si>
    <t xml:space="preserve">    22-M - Montáže oznam. a zabezp. zařízení</t>
  </si>
  <si>
    <t>2) Ostatní náklady</t>
  </si>
  <si>
    <t>Zařízení staveniště</t>
  </si>
  <si>
    <t>nákladů rozpočtu</t>
  </si>
  <si>
    <t>VRN</t>
  </si>
  <si>
    <t>Mimostav. doprava</t>
  </si>
  <si>
    <t>Územní vlivy</t>
  </si>
  <si>
    <t>Provozní vlivy</t>
  </si>
  <si>
    <t>Ostatní</t>
  </si>
  <si>
    <t>Kompletační činnosť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</si>
  <si>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</si>
  <si>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</si>
  <si>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</si>
  <si>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</si>
  <si>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</si>
  <si>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</si>
  <si>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</si>
  <si>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</si>
  <si>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</si>
  <si>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</si>
  <si>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</si>
  <si>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</si>
  <si>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</si>
  <si>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</si>
  <si>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</si>
  <si>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</si>
  <si>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</si>
  <si>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</si>
  <si>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113106121</t>
  </si>
  <si>
    <t>Rozebrání dlažeb nebo dílců komunikací pro pěší z betonových nebo kamenných dlaždic</t>
  </si>
  <si>
    <t>m2</t>
  </si>
  <si>
    <t>132202101</t>
  </si>
  <si>
    <t>Hloubení rýh š do 600 mm ručním nebo pneum nářadím v soudržných horninách tř. 3</t>
  </si>
  <si>
    <t>m3</t>
  </si>
  <si>
    <t>3</t>
  </si>
  <si>
    <t>132202109</t>
  </si>
  <si>
    <t>Příplatek za lepivost u hloubení rýh š do 600 mm ručním nebo pneum nářadím v hornině tř. 3</t>
  </si>
  <si>
    <t>132202201</t>
  </si>
  <si>
    <t>Hloubení rýh š přes 600 do 2000 mm ručním nebo pneum nářadím v soudržných horninách tř. 3</t>
  </si>
  <si>
    <t>5</t>
  </si>
  <si>
    <t>132202209</t>
  </si>
  <si>
    <t>Příplatek za lepivost u hloubení rýh š do 2000 mm ručním nebo pneum nářadím v hornině tř. 3</t>
  </si>
  <si>
    <t>6</t>
  </si>
  <si>
    <t>161101101</t>
  </si>
  <si>
    <t>Svislé přemístění výkopku z horniny tř. 1 až 4 hl výkopu do 2,5 m</t>
  </si>
  <si>
    <t>7</t>
  </si>
  <si>
    <t>162701105</t>
  </si>
  <si>
    <t>Vodorovné přemístění do 10000 m výkopku z horniny tř. 1 až 4</t>
  </si>
  <si>
    <t>8</t>
  </si>
  <si>
    <t>171201211</t>
  </si>
  <si>
    <t>Poplatek za uložení odpadu ze sypaniny na skládce (skládkovné)</t>
  </si>
  <si>
    <t>t</t>
  </si>
  <si>
    <t>9</t>
  </si>
  <si>
    <t>174201101</t>
  </si>
  <si>
    <t>Zásyp jam, šachet rýh nebo kolem objektů sypaninou bez zhutnění</t>
  </si>
  <si>
    <t>M</t>
  </si>
  <si>
    <t>583438730</t>
  </si>
  <si>
    <t>kamenivo drcené hrubé frakce 8-16 třída B</t>
  </si>
  <si>
    <t>11</t>
  </si>
  <si>
    <t>213141111</t>
  </si>
  <si>
    <t>Zřízení vrstvy z geotextilie v rovině nebo ve sklonu do 1:5 š do 3 m</t>
  </si>
  <si>
    <t>12</t>
  </si>
  <si>
    <t>693111030</t>
  </si>
  <si>
    <t>textilie GETEX IMPREGNOVANÝ pestrá 400 g/m3 š 230 cm</t>
  </si>
  <si>
    <t>13</t>
  </si>
  <si>
    <t>155282291</t>
  </si>
  <si>
    <t>Příplatek za ruční dočištění ocelových kartáči</t>
  </si>
  <si>
    <t>247681114</t>
  </si>
  <si>
    <t>Těsnění studny z jílu se zhutněním</t>
  </si>
  <si>
    <t>15</t>
  </si>
  <si>
    <t>310239211</t>
  </si>
  <si>
    <t>Zazdívka otvorů pl do 4 m2 ve zdivu nadzákladovém cihlami pálenými na MVC</t>
  </si>
  <si>
    <t>16</t>
  </si>
  <si>
    <t>319231113</t>
  </si>
  <si>
    <t>Dodatečná izolace PE fólií zdiva cihelného tl do 600 mm ručním podbouráním v do 300 mm</t>
  </si>
  <si>
    <t>17</t>
  </si>
  <si>
    <t>349231811</t>
  </si>
  <si>
    <t>Přizdívka ostění s ozubem z cihel tl do 150 mm</t>
  </si>
  <si>
    <t>18</t>
  </si>
  <si>
    <t>349235861</t>
  </si>
  <si>
    <t>Doplnění plošných fasádních prvků vyložených do 150 mm</t>
  </si>
  <si>
    <t>19</t>
  </si>
  <si>
    <t>564851111</t>
  </si>
  <si>
    <t>Podklad ze štěrkodrtě ŠD tl 150 mm</t>
  </si>
  <si>
    <t>596811220</t>
  </si>
  <si>
    <t>Kladení betonové dlažby komunikací pro pěší do lože z kameniva vel do 0,25 m2 plochy do 50 m2</t>
  </si>
  <si>
    <t>21</t>
  </si>
  <si>
    <t>592456000</t>
  </si>
  <si>
    <t>dlažba desková betonová HBB 50x50x5 cm</t>
  </si>
  <si>
    <t>22</t>
  </si>
  <si>
    <t>612131101</t>
  </si>
  <si>
    <t>Cementový postřik vnitřních stěn nanášený celoplošně ručně</t>
  </si>
  <si>
    <t>23</t>
  </si>
  <si>
    <t>612321141</t>
  </si>
  <si>
    <t>Vápenocementová omítka štuková dvouvrstvá vnitřních stěn nanášená ručně</t>
  </si>
  <si>
    <t>24</t>
  </si>
  <si>
    <t>612321191</t>
  </si>
  <si>
    <t>Příplatek k vápenocementové omítce vnitřních stěn za každých dalších 5 mm tloušťky ručně</t>
  </si>
  <si>
    <t>25</t>
  </si>
  <si>
    <t>619995001</t>
  </si>
  <si>
    <t>Začištění omítek kolem oken, dveří, podlah nebo obkladů</t>
  </si>
  <si>
    <t>m</t>
  </si>
  <si>
    <t>26</t>
  </si>
  <si>
    <t>620470000</t>
  </si>
  <si>
    <t>Nátěr penetrační PENECO EXTRA dvojnásobný</t>
  </si>
  <si>
    <t>27</t>
  </si>
  <si>
    <t>620470001</t>
  </si>
  <si>
    <t>Adhézní můstek ANTIKOR</t>
  </si>
  <si>
    <t>28</t>
  </si>
  <si>
    <t>629991011</t>
  </si>
  <si>
    <t>Zakrytí výplní otvorů a svislých ploch fólií přilepenou lepící páskou</t>
  </si>
  <si>
    <t>29</t>
  </si>
  <si>
    <t>622101000</t>
  </si>
  <si>
    <t>Sádrový odlitek říms a šambrán v dl.300 mm</t>
  </si>
  <si>
    <t>kus</t>
  </si>
  <si>
    <t>30</t>
  </si>
  <si>
    <t>622125101</t>
  </si>
  <si>
    <t>Vyplnění spár cementovou maltou vnějších stěn z cihel</t>
  </si>
  <si>
    <t>31</t>
  </si>
  <si>
    <t>622131101</t>
  </si>
  <si>
    <t>Cementový postřik vnějších stěn nanášený celoplošně ručně</t>
  </si>
  <si>
    <t>32</t>
  </si>
  <si>
    <t>33</t>
  </si>
  <si>
    <t>622143003</t>
  </si>
  <si>
    <t>Montáž omítkových plastových nebo pozinkovaných rohových profilů</t>
  </si>
  <si>
    <t>34</t>
  </si>
  <si>
    <t>553430260</t>
  </si>
  <si>
    <t>profil omítkový rohový CATNIC č. 6028 pro omítky venkovní  7 mm</t>
  </si>
  <si>
    <t>35</t>
  </si>
  <si>
    <t>622211041</t>
  </si>
  <si>
    <t>Montáž zateplení vnějších stěn z polystyrénových desek tl do 200 mm</t>
  </si>
  <si>
    <t>36</t>
  </si>
  <si>
    <t>283759540</t>
  </si>
  <si>
    <t>deska fasádní polystyrénová EPS 70 F 1000 x 500 x 200 mm</t>
  </si>
  <si>
    <t>37</t>
  </si>
  <si>
    <t>622212001</t>
  </si>
  <si>
    <t>Montáž zateplení vnějšího ostění hl. špalety do 200 mm z polystyrénových desek tl do 40 mm</t>
  </si>
  <si>
    <t>38</t>
  </si>
  <si>
    <t>283759310</t>
  </si>
  <si>
    <t>deska fasádní polystyrénová,typ EPS 70F,tl 30mm</t>
  </si>
  <si>
    <t>39</t>
  </si>
  <si>
    <t>622252002</t>
  </si>
  <si>
    <t>Montáž ostatních lišt zateplení</t>
  </si>
  <si>
    <t>40</t>
  </si>
  <si>
    <t>590514940</t>
  </si>
  <si>
    <t>lišta parapetní PVC UV 10, 2 m</t>
  </si>
  <si>
    <t>41</t>
  </si>
  <si>
    <t>622261111</t>
  </si>
  <si>
    <t>PZS z betonových cihel obklad stěn na dřevěné lišty bez izolace</t>
  </si>
  <si>
    <t>42</t>
  </si>
  <si>
    <t>622261171</t>
  </si>
  <si>
    <t>Příplatek za pracnost při provádění PZS soklu na lišty dřevěné bez izolace</t>
  </si>
  <si>
    <t>43</t>
  </si>
  <si>
    <t>622261201</t>
  </si>
  <si>
    <t>PZS z betonových cihel roh vnější na lištách dřevěných z cihel 90°</t>
  </si>
  <si>
    <t>44</t>
  </si>
  <si>
    <t>622261211</t>
  </si>
  <si>
    <t>PZS z betonových cihel roh vnitřní na lištách dřevěných z cihel 90°</t>
  </si>
  <si>
    <t>45</t>
  </si>
  <si>
    <t>622321141</t>
  </si>
  <si>
    <t>Vápenocementová omítka štuková dvouvrstvá vnějších stěn nanášená ručně s vlákny Fibrexcrete dle PD</t>
  </si>
  <si>
    <t>46</t>
  </si>
  <si>
    <t>622321141R</t>
  </si>
  <si>
    <t>47</t>
  </si>
  <si>
    <t>622321191</t>
  </si>
  <si>
    <t>Příplatek k vápenocementové omítce vnějších stěn za každých dalších 5 mm tloušťky ručně s vlákny Fibrexcrete dle PD</t>
  </si>
  <si>
    <t>48</t>
  </si>
  <si>
    <t>49</t>
  </si>
  <si>
    <t>622421147</t>
  </si>
  <si>
    <t>Vnější omítka stěn a štítů vápenná nebo vápenocementová štuková tvarovaná s přidáním vláken FIBREX CRETE</t>
  </si>
  <si>
    <t>50</t>
  </si>
  <si>
    <t>622476000</t>
  </si>
  <si>
    <t>Sanační vnější omítkový systém   na cihelné nebo kamenné zdivo složitosti II s přidáním vláken FIBROXETE</t>
  </si>
  <si>
    <t>51</t>
  </si>
  <si>
    <t>622531021</t>
  </si>
  <si>
    <t>Tenkovrstvá silikonová zrnitá omítka tl. 2,0 mm včetně penetrace vnějších stěn</t>
  </si>
  <si>
    <t>52</t>
  </si>
  <si>
    <t>622611132</t>
  </si>
  <si>
    <t>Nátěr silikátový dvojnásobný vnějších omítaných stěn včetně penetrace provedený ručně</t>
  </si>
  <si>
    <t>53</t>
  </si>
  <si>
    <t>622618131</t>
  </si>
  <si>
    <t>Antigraffiti nátěr dvojnásobný trvalý do 150 cyklů transparentní vnějších stěn provedený ručně</t>
  </si>
  <si>
    <t>54</t>
  </si>
  <si>
    <t>624635351</t>
  </si>
  <si>
    <t>Tmelení silikonovým tmelem spáry průřezu do 200mm2</t>
  </si>
  <si>
    <t>55</t>
  </si>
  <si>
    <t>627470000</t>
  </si>
  <si>
    <t>Reprofilace stěn a podhledů sanačnímaltou REPARAL DUR F-E</t>
  </si>
  <si>
    <t>56</t>
  </si>
  <si>
    <t>629995101</t>
  </si>
  <si>
    <t>Očištění vnějších ploch tlakovou vodou</t>
  </si>
  <si>
    <t>57</t>
  </si>
  <si>
    <t>629995219</t>
  </si>
  <si>
    <t>Očištění vnějších ploch otryskáním nesušeným křemičitým pískem betonového povrchu</t>
  </si>
  <si>
    <t>58</t>
  </si>
  <si>
    <t>632450122</t>
  </si>
  <si>
    <t>Vyrovnávací cementový potěr provedený v pásu ze suchých směsí tl 30 mm</t>
  </si>
  <si>
    <t>59</t>
  </si>
  <si>
    <t>637211122</t>
  </si>
  <si>
    <t>Okapový chodník z betonových dlaždic tl 60 mm kladených do písku se zalitím spár MC</t>
  </si>
  <si>
    <t>60</t>
  </si>
  <si>
    <t>941111132</t>
  </si>
  <si>
    <t>Montáž lešení řadového trubkového lehkého s podlahami zatížení do 200 kg/m2 š do 1,5 m v do 25 m</t>
  </si>
  <si>
    <t>61</t>
  </si>
  <si>
    <t>941111231</t>
  </si>
  <si>
    <t>Příplatek k lešení řadovému trubkovému lehkému s podlahami š 1,5 m v 10 m za první a ZKD den použití</t>
  </si>
  <si>
    <t>62</t>
  </si>
  <si>
    <t>941111832</t>
  </si>
  <si>
    <t>Demontáž lešení řadového trubkového lehkého s podlahami zatížení do 200 kg/m2 š do 1,5 m v do 25 m</t>
  </si>
  <si>
    <t>63</t>
  </si>
  <si>
    <t>949101111</t>
  </si>
  <si>
    <t>Lešení pomocné pro objekty pozemních staveb s lešeňovou podlahou v do 1,9 m zatížení do 150 kg/m2</t>
  </si>
  <si>
    <t>64</t>
  </si>
  <si>
    <t>953941211</t>
  </si>
  <si>
    <t>Osazování kovových konzol nebo kotev bez jejich dodání</t>
  </si>
  <si>
    <t>65</t>
  </si>
  <si>
    <t>55300022</t>
  </si>
  <si>
    <t>zábradlí z03</t>
  </si>
  <si>
    <t>66</t>
  </si>
  <si>
    <t>953941212</t>
  </si>
  <si>
    <t>Osazovaní kovových mříží v rámu nebo z jednotlivých tyčí bez jejich dodání</t>
  </si>
  <si>
    <t>67</t>
  </si>
  <si>
    <t>55300010</t>
  </si>
  <si>
    <t>ocelová mříž 200x500 z/3 pozinkovaná</t>
  </si>
  <si>
    <t>68</t>
  </si>
  <si>
    <t>55300013</t>
  </si>
  <si>
    <t>ocelová mříž 800x900 z/2 pozinkovaná</t>
  </si>
  <si>
    <t>69</t>
  </si>
  <si>
    <t>55300014</t>
  </si>
  <si>
    <t>ocelová mříž 800x500 z/1 pozinkovaná</t>
  </si>
  <si>
    <t>70</t>
  </si>
  <si>
    <t>962032231</t>
  </si>
  <si>
    <t>Bourání zdiva z cihel pálených nebo vápenopískových na MV nebo MVC</t>
  </si>
  <si>
    <t>71</t>
  </si>
  <si>
    <t>963053935</t>
  </si>
  <si>
    <t>Bourání ŽB schodišťových ramen monolitických zazděných oboustranně</t>
  </si>
  <si>
    <t>72</t>
  </si>
  <si>
    <t>967031732</t>
  </si>
  <si>
    <t>Přisekání plošné zdiva z cihel pálených na MV nebo MVC tl do 100 mm</t>
  </si>
  <si>
    <t>73</t>
  </si>
  <si>
    <t>967042713</t>
  </si>
  <si>
    <t>Odsekání zdiva z kamene nebo betonu plošné tl do 150 mm</t>
  </si>
  <si>
    <t>74</t>
  </si>
  <si>
    <t>968062354</t>
  </si>
  <si>
    <t>Vybourání dřevěných rámů oken dvojitých nebo zdvojených pl do 1 m2</t>
  </si>
  <si>
    <t>75</t>
  </si>
  <si>
    <t>968062356</t>
  </si>
  <si>
    <t>Vybourání dřevěných rámů oken dvojitých nebo zdvojených pl do 4 m2</t>
  </si>
  <si>
    <t>76</t>
  </si>
  <si>
    <t>968072244</t>
  </si>
  <si>
    <t>Vybourání kovových rámů oken jednoduchých pl do 1 m2</t>
  </si>
  <si>
    <t>77</t>
  </si>
  <si>
    <t>968072455</t>
  </si>
  <si>
    <t>Vybourání kovových dveřních zárubní pl do 2 m2</t>
  </si>
  <si>
    <t>78</t>
  </si>
  <si>
    <t>973031324</t>
  </si>
  <si>
    <t>Vysekání kapes ve zdivu cihelném na MV nebo MVC pl do 0,10 m2 hl do 150 mm</t>
  </si>
  <si>
    <t>79</t>
  </si>
  <si>
    <t>974031121</t>
  </si>
  <si>
    <t>Vysekání rýh ve zdivu cihelném hl do 30 mm š do 30 mm</t>
  </si>
  <si>
    <t>80</t>
  </si>
  <si>
    <t>974031155</t>
  </si>
  <si>
    <t>Vysekání rýh ve zdivu cihelném hl do 100 mm š do 200 mm</t>
  </si>
  <si>
    <t>81</t>
  </si>
  <si>
    <t>976071111</t>
  </si>
  <si>
    <t>Vybourání kovových madel a zábradlí</t>
  </si>
  <si>
    <t>82</t>
  </si>
  <si>
    <t>978015391</t>
  </si>
  <si>
    <t>Otlučení vnějších omítek MV nebo MVC  průčelí v rozsahu do 100 %</t>
  </si>
  <si>
    <t>83</t>
  </si>
  <si>
    <t>979081111</t>
  </si>
  <si>
    <t>Odvoz suti a vybouraných hmot na skládku do 1 km</t>
  </si>
  <si>
    <t>84</t>
  </si>
  <si>
    <t>979081121</t>
  </si>
  <si>
    <t>Odvoz suti a vybouraných hmot na skládku ZKD 1 km přes 1 km</t>
  </si>
  <si>
    <t>85</t>
  </si>
  <si>
    <t>997013115</t>
  </si>
  <si>
    <t>Vnitrostaveništní doprava suti a vybouraných hmot pro budovy v do 18 m s použitím mechanizace</t>
  </si>
  <si>
    <t>86</t>
  </si>
  <si>
    <t>997013831</t>
  </si>
  <si>
    <t>Poplatek za uložení stavebního směsného odpadu na skládce (skládkovné)</t>
  </si>
  <si>
    <t>87</t>
  </si>
  <si>
    <t>998011003</t>
  </si>
  <si>
    <t>Přesun hmot pro budovy zděné v do 24 m</t>
  </si>
  <si>
    <t>88</t>
  </si>
  <si>
    <t>711111001</t>
  </si>
  <si>
    <t>Provedení izolace proti zemní vlhkosti vodorovné za studena nátěrem penetračním</t>
  </si>
  <si>
    <t>89</t>
  </si>
  <si>
    <t>111631500</t>
  </si>
  <si>
    <t>lak asfaltový ALP/9 bal 9 kg</t>
  </si>
  <si>
    <t>90</t>
  </si>
  <si>
    <t>711112001</t>
  </si>
  <si>
    <t>Provedení izolace proti zemní vlhkosti svislé za studena nátěrem penetračním</t>
  </si>
  <si>
    <t>91</t>
  </si>
  <si>
    <t>92</t>
  </si>
  <si>
    <t>711121131</t>
  </si>
  <si>
    <t>Provedení izolace proti zemní vlhkosti vodorovné za horka nátěrem asfaltovým</t>
  </si>
  <si>
    <t>93</t>
  </si>
  <si>
    <t>111613320</t>
  </si>
  <si>
    <t>asfalt stavebně-izolační, AZIT 105/B2  bal. 190 kg</t>
  </si>
  <si>
    <t>94</t>
  </si>
  <si>
    <t>711122131</t>
  </si>
  <si>
    <t>Provedení izolace proti zemní vlhkosti svislé za horka nátěrem asfaltovým</t>
  </si>
  <si>
    <t>95</t>
  </si>
  <si>
    <t>96</t>
  </si>
  <si>
    <t>711141559</t>
  </si>
  <si>
    <t>Provedení izolace proti zemní vlhkosti pásy přitavením vodorovné NAIP</t>
  </si>
  <si>
    <t>97</t>
  </si>
  <si>
    <t>628522641</t>
  </si>
  <si>
    <t>pás s modifikovaným asfaltem GLASTEK special dekor</t>
  </si>
  <si>
    <t>98</t>
  </si>
  <si>
    <t>711161302</t>
  </si>
  <si>
    <t>Izolace proti zemní vlhkosti stěn foliemi nopovými pro běžné podmínky tl. 0,4 mm šířky 1,0 m</t>
  </si>
  <si>
    <t>99</t>
  </si>
  <si>
    <t>711142559</t>
  </si>
  <si>
    <t>Provedení izolace proti zemní vlhkosti pásy přitavením svislé NAIP</t>
  </si>
  <si>
    <t>101</t>
  </si>
  <si>
    <t>711161381</t>
  </si>
  <si>
    <t>Izolace proti zemní vlhkosti foliemi nopovými ukončené horní lištou</t>
  </si>
  <si>
    <t>102</t>
  </si>
  <si>
    <t>998711203</t>
  </si>
  <si>
    <t>Přesun hmot pro izolace proti vodě, vlhkosti a plynům v objektech v do 60 m</t>
  </si>
  <si>
    <t>%</t>
  </si>
  <si>
    <t>103</t>
  </si>
  <si>
    <t>712691687</t>
  </si>
  <si>
    <t>Provedení povlakové krytiny střech přes 30° přibití AIP nebo NAIP hřebíky</t>
  </si>
  <si>
    <t>104</t>
  </si>
  <si>
    <t>314115100</t>
  </si>
  <si>
    <t>hřebík do krytiny s velkou hlavou 02 2813 D 2 L 20 mm</t>
  </si>
  <si>
    <t>kg</t>
  </si>
  <si>
    <t>105</t>
  </si>
  <si>
    <t>628111200</t>
  </si>
  <si>
    <t>pás asfaltovaný A330 H</t>
  </si>
  <si>
    <t>106</t>
  </si>
  <si>
    <t>998712203</t>
  </si>
  <si>
    <t>Přesun hmot procentní pro krytiny povlakové v objektech v do 24 m</t>
  </si>
  <si>
    <t>107</t>
  </si>
  <si>
    <t>721300922</t>
  </si>
  <si>
    <t>Pročištění svodů ležatých do DN 300</t>
  </si>
  <si>
    <t>108</t>
  </si>
  <si>
    <t>721300941</t>
  </si>
  <si>
    <t>Pročištění vpustí dvorních D 300</t>
  </si>
  <si>
    <t>109</t>
  </si>
  <si>
    <t>998721203</t>
  </si>
  <si>
    <t>Přesun hmot pro vnitřní kanalizace v objektech v do 24 m</t>
  </si>
  <si>
    <t>110</t>
  </si>
  <si>
    <t>762341210</t>
  </si>
  <si>
    <t>Montáž bednění střech rovných a šikmých sklonu do 60° z hrubých prken na sraz</t>
  </si>
  <si>
    <t>111</t>
  </si>
  <si>
    <t>605151210</t>
  </si>
  <si>
    <t>řezivo jehličnaté boční prkno jakost I.-II. 4 - 6 cm</t>
  </si>
  <si>
    <t>112</t>
  </si>
  <si>
    <t>762341811</t>
  </si>
  <si>
    <t>Demontáž bednění střech z prken</t>
  </si>
  <si>
    <t>113</t>
  </si>
  <si>
    <t>762395000</t>
  </si>
  <si>
    <t>Spojovací prostředky pro montáž krovu, bednění, laťování, světlíky, klíny</t>
  </si>
  <si>
    <t>114</t>
  </si>
  <si>
    <t>998762203</t>
  </si>
  <si>
    <t>Přesun hmot pro kce tesařské v objektech v do 24 m</t>
  </si>
  <si>
    <t>115</t>
  </si>
  <si>
    <t>764000000</t>
  </si>
  <si>
    <t>Střešní výlez 600x600 zasklený</t>
  </si>
  <si>
    <t>116</t>
  </si>
  <si>
    <t>764222540</t>
  </si>
  <si>
    <t>Oplechování TiZn okapů tvrdá krytina rš 500 mm</t>
  </si>
  <si>
    <t>117</t>
  </si>
  <si>
    <t>764222551R</t>
  </si>
  <si>
    <t>Oplechování TiZn okapů tvrdá krytina rš 750mm</t>
  </si>
  <si>
    <t>118</t>
  </si>
  <si>
    <t>764239540</t>
  </si>
  <si>
    <t>Lemování komínů TiZn hladká a drážková krytina v hřebeni</t>
  </si>
  <si>
    <t>119</t>
  </si>
  <si>
    <t>764255501</t>
  </si>
  <si>
    <t>Žlab TiZn nástřešní oblý rš 500 mm</t>
  </si>
  <si>
    <t>120</t>
  </si>
  <si>
    <t>76425953R</t>
  </si>
  <si>
    <t>Žlab podokapní TiZn - kotlík hranatý vel. 150 mm</t>
  </si>
  <si>
    <t>121</t>
  </si>
  <si>
    <t>764311303</t>
  </si>
  <si>
    <t>Krytina Al tl 0,8 mm hladká střešní z tabulí 2000x1000 mm sklonu přes 45°</t>
  </si>
  <si>
    <t>122</t>
  </si>
  <si>
    <t>764311841</t>
  </si>
  <si>
    <t>Demontáž krytina hladká tabule 2000x1000 mm sklon přes 45° plocha do 25 m2</t>
  </si>
  <si>
    <t>123</t>
  </si>
  <si>
    <t>764313384</t>
  </si>
  <si>
    <t>Montáž krytina AL tvarovaná střešní KOB</t>
  </si>
  <si>
    <t>124</t>
  </si>
  <si>
    <t>194268060</t>
  </si>
  <si>
    <t>plech Al99,5 profil KOB1017 stav tvrdý 0,63x920 mm</t>
  </si>
  <si>
    <t>125</t>
  </si>
  <si>
    <t>764322220</t>
  </si>
  <si>
    <t>Oplechování Pz okapů tvrdá krytina rš 330 mm</t>
  </si>
  <si>
    <t>126</t>
  </si>
  <si>
    <t>764322320</t>
  </si>
  <si>
    <t>Oplechování Al okapů tvrdá krytina rš 330 mm</t>
  </si>
  <si>
    <t>127</t>
  </si>
  <si>
    <t>764322340</t>
  </si>
  <si>
    <t>Oplechování Al okapů tvrdá krytina rš 500 mm</t>
  </si>
  <si>
    <t>128</t>
  </si>
  <si>
    <t>764322350</t>
  </si>
  <si>
    <t>Oplechování Al okapů tvrdá krytina rš 660 mm</t>
  </si>
  <si>
    <t>129</t>
  </si>
  <si>
    <t>764339842</t>
  </si>
  <si>
    <t>Demontáž lemování komínů hladká krytina v hřebeni přes 45°</t>
  </si>
  <si>
    <t>130</t>
  </si>
  <si>
    <t>764348211</t>
  </si>
  <si>
    <t>Sněhový zachytač lopatkový Pz dl 500 mm</t>
  </si>
  <si>
    <t>131</t>
  </si>
  <si>
    <t>764355204R</t>
  </si>
  <si>
    <t>Žlab Pz nástřešní oblý rš 750 mm</t>
  </si>
  <si>
    <t>132</t>
  </si>
  <si>
    <t>764361812</t>
  </si>
  <si>
    <t>Demontáž poklopu vlnitá krytina přes 45°</t>
  </si>
  <si>
    <t>133</t>
  </si>
  <si>
    <t>764392854R</t>
  </si>
  <si>
    <t>Demontáž střešní úžlabí rš 2000mm přes 45°</t>
  </si>
  <si>
    <t>134</t>
  </si>
  <si>
    <t>764393380</t>
  </si>
  <si>
    <t>Střešní prvky Al tl 0,8 mm - hřeben rš 1000 mm</t>
  </si>
  <si>
    <t>135</t>
  </si>
  <si>
    <t>764410230</t>
  </si>
  <si>
    <t>Oplechování parapetů Pz rš 200 mm včetně rohů</t>
  </si>
  <si>
    <t>136</t>
  </si>
  <si>
    <t>764410250</t>
  </si>
  <si>
    <t>Oplechování parapetů Pz rš 330 mm včetně rohů</t>
  </si>
  <si>
    <t>137</t>
  </si>
  <si>
    <t>764410850</t>
  </si>
  <si>
    <t>Demontáž oplechování parapetu rš do 330 mm</t>
  </si>
  <si>
    <t>138</t>
  </si>
  <si>
    <t>764421270</t>
  </si>
  <si>
    <t>Oplechování říms Pz rš 500 mm</t>
  </si>
  <si>
    <t>139</t>
  </si>
  <si>
    <t>764430340</t>
  </si>
  <si>
    <t>Oplechování Al tl 0,8 mm zdí rš 500 mm včetně rohů</t>
  </si>
  <si>
    <t>140</t>
  </si>
  <si>
    <t>764454203</t>
  </si>
  <si>
    <t>Odpadní trouby Pz kruhové D 120 mm</t>
  </si>
  <si>
    <t>141</t>
  </si>
  <si>
    <t>764510530</t>
  </si>
  <si>
    <t>Oplechování parapetů TiZn rš 200 mm včetně rohů</t>
  </si>
  <si>
    <t>142</t>
  </si>
  <si>
    <t>764521550</t>
  </si>
  <si>
    <t>Oplechování Zn-Ti říms rš 330 mm</t>
  </si>
  <si>
    <t>143</t>
  </si>
  <si>
    <t>764521570</t>
  </si>
  <si>
    <t>Oplechování Zn-Ti říms rš 500 mm</t>
  </si>
  <si>
    <t>144</t>
  </si>
  <si>
    <t>764530540</t>
  </si>
  <si>
    <t>Oplechování TiZn zdí rš 500 mm včetně rohů</t>
  </si>
  <si>
    <t>145</t>
  </si>
  <si>
    <t>764554504</t>
  </si>
  <si>
    <t>Odpadní trouby TiZn kruhové průměr 150 mm</t>
  </si>
  <si>
    <t>146</t>
  </si>
  <si>
    <t>764711115</t>
  </si>
  <si>
    <t>Oplechování parapetu Lindab rš 330 mm</t>
  </si>
  <si>
    <t>147</t>
  </si>
  <si>
    <t>998764203</t>
  </si>
  <si>
    <t>Přesun hmot pro konstrukce klempířské v objektech v do 24 m</t>
  </si>
  <si>
    <t>148</t>
  </si>
  <si>
    <t>766441821</t>
  </si>
  <si>
    <t>Demontáž parapetních desek dřevěných, laminovaných šířky do 30 cm délky přes 1,0 m</t>
  </si>
  <si>
    <t>149</t>
  </si>
  <si>
    <t>766621211</t>
  </si>
  <si>
    <t>Montáž oken zdvojených otevíravých výšky do 1,5m s rámem do zdiva</t>
  </si>
  <si>
    <t>150</t>
  </si>
  <si>
    <t>611400211</t>
  </si>
  <si>
    <t>okno plastové jednokřídlé vyklápěcí 80 x 50 cm bílá P07</t>
  </si>
  <si>
    <t>151</t>
  </si>
  <si>
    <t>611400221</t>
  </si>
  <si>
    <t>okno plastové jednokřídlé vyklápěcí 80 x 90 cm,bílá P06</t>
  </si>
  <si>
    <t>152</t>
  </si>
  <si>
    <t>611400222</t>
  </si>
  <si>
    <t>okno plastové kruhové otevíravé ,bílá  a zelená P05</t>
  </si>
  <si>
    <t>153</t>
  </si>
  <si>
    <t>766621212</t>
  </si>
  <si>
    <t>Montáž oken zdvojených otevíravých výšky přes 1,5 do 2,5m s rámem do zdiva</t>
  </si>
  <si>
    <t>154</t>
  </si>
  <si>
    <t>611400343</t>
  </si>
  <si>
    <t>okno plastové s nadsvětlíkem 1400x2200,vnější barva zelená,vnitřní bílá, P03</t>
  </si>
  <si>
    <t>155</t>
  </si>
  <si>
    <t>611400102</t>
  </si>
  <si>
    <t>okno plastové 1250x2100 ,vnější barva zelená a vnitřní bílá,P04</t>
  </si>
  <si>
    <t>156</t>
  </si>
  <si>
    <t>611400122</t>
  </si>
  <si>
    <t>okno plastové 1200x1900 ,vnější barva zelená a vnitřní bílá,P04</t>
  </si>
  <si>
    <t>157</t>
  </si>
  <si>
    <t>766622861</t>
  </si>
  <si>
    <t>Vyvěšení nebo zavěšení křídel dřevěných nebo plastových okenních do 1,5 m2</t>
  </si>
  <si>
    <t>158</t>
  </si>
  <si>
    <t>766660132</t>
  </si>
  <si>
    <t>Montáž dveřních křídel otvíravých 1křídlových š přes 0,8 m masivní dřevo do dřevěné rámové zárubně</t>
  </si>
  <si>
    <t>159</t>
  </si>
  <si>
    <t>61100000</t>
  </si>
  <si>
    <t>dveře vstupní s nadsvětlíkem,zárubní a 8 schránkami  ,vč.povrchové úpravy a bezp.zámku T01</t>
  </si>
  <si>
    <t>160</t>
  </si>
  <si>
    <t>766660151</t>
  </si>
  <si>
    <t>Montáž nadsvětlíkových křídel výšky do 500 mm masivní dřevo do dřevěné rámové zárubně</t>
  </si>
  <si>
    <t>161</t>
  </si>
  <si>
    <t>766681115</t>
  </si>
  <si>
    <t>Montáž zárubní rámových pro dveře jednokřídlové rozměru 1100 mm</t>
  </si>
  <si>
    <t>162</t>
  </si>
  <si>
    <t>766691914</t>
  </si>
  <si>
    <t>Vyvěšení nebo zavěšení dřevěných křídel dveří pl do 2 m2</t>
  </si>
  <si>
    <t>163</t>
  </si>
  <si>
    <t>766694112</t>
  </si>
  <si>
    <t>Montáž parapetních desek dřevěných, laminovaných šířky do 30 cm délky do 1,6 m</t>
  </si>
  <si>
    <t>164</t>
  </si>
  <si>
    <t>607941030</t>
  </si>
  <si>
    <t>deska parapetní dřevotřísková vnitřní POSTFORMING 0,3 x 1 m</t>
  </si>
  <si>
    <t>165</t>
  </si>
  <si>
    <t>607941210</t>
  </si>
  <si>
    <t>koncovka PVC k parapetním deskám 600 mm</t>
  </si>
  <si>
    <t>166</t>
  </si>
  <si>
    <t>998766203</t>
  </si>
  <si>
    <t>Přesun hmot pro konstrukce truhlářské v objektech v do 24 m</t>
  </si>
  <si>
    <t>167</t>
  </si>
  <si>
    <t>767691812</t>
  </si>
  <si>
    <t>Vyvěšení nebo zavěšení kovových křídel oken do 1,5 m2</t>
  </si>
  <si>
    <t>168</t>
  </si>
  <si>
    <t>767995101</t>
  </si>
  <si>
    <t>Montáž atypických zámečnických konstrukcí hmotnosti do 5 kg</t>
  </si>
  <si>
    <t>169</t>
  </si>
  <si>
    <t>767995102</t>
  </si>
  <si>
    <t>Montáž atypických zámečnických konstrukcí hmotnosti do 10 kg</t>
  </si>
  <si>
    <t>170</t>
  </si>
  <si>
    <t>55300000</t>
  </si>
  <si>
    <t>ochranná mříž k topidlům</t>
  </si>
  <si>
    <t>171</t>
  </si>
  <si>
    <t>767995103</t>
  </si>
  <si>
    <t>Montáž atypických zámečnických konstrukcí hmotnosti do 20 kg</t>
  </si>
  <si>
    <t>172</t>
  </si>
  <si>
    <t>55300020</t>
  </si>
  <si>
    <t>komínová lávka z/04 pozinkovaná</t>
  </si>
  <si>
    <t>173</t>
  </si>
  <si>
    <t>767996801</t>
  </si>
  <si>
    <t>Demontáž atypických zámečnických konstrukcí hmotnosti jednotlivých dílů do 50 kg</t>
  </si>
  <si>
    <t>174</t>
  </si>
  <si>
    <t>998767203</t>
  </si>
  <si>
    <t>Přesun hmot pro zámečnické konstrukce v objektech v do 24 m</t>
  </si>
  <si>
    <t>175</t>
  </si>
  <si>
    <t>783904811</t>
  </si>
  <si>
    <t>Odrezivění kovových konstrukcí</t>
  </si>
  <si>
    <t>176</t>
  </si>
  <si>
    <t>783221112</t>
  </si>
  <si>
    <t>Nátěry syntetické KDK barva dražší lesklý povrch 1x antikorozní, 1x základní, 2x email</t>
  </si>
  <si>
    <t>177</t>
  </si>
  <si>
    <t>783241001</t>
  </si>
  <si>
    <t>Nátěry vinylové reaktivní kovových doplňkových konstrukcí jednonásobné</t>
  </si>
  <si>
    <t>178</t>
  </si>
  <si>
    <t>783522212</t>
  </si>
  <si>
    <t>Nátěry syntetické klempířských kcí barva dražší lesklý povrch 1x reaktivní, 1x základní, 2x email</t>
  </si>
  <si>
    <t>179</t>
  </si>
  <si>
    <t>783783312</t>
  </si>
  <si>
    <t>Nátěry tesařských kcí proti dřevokazným houbám, hmyzu a plísním preventivní dvojnásobné v exteriéru</t>
  </si>
  <si>
    <t>180</t>
  </si>
  <si>
    <t>784412301</t>
  </si>
  <si>
    <t>Pačokování vápenným mlékem se začištěním dvojnásobné v místnostech v do 3,8 m</t>
  </si>
  <si>
    <t>181</t>
  </si>
  <si>
    <t>784453641</t>
  </si>
  <si>
    <t>Malby směsi PRIMALEX tekuté disperzní bílé fungicidní dvojnásobné s penetrací místnost v do 3,8 m</t>
  </si>
  <si>
    <t>182</t>
  </si>
  <si>
    <t>210070001</t>
  </si>
  <si>
    <t>Montáž podpěrek pro sběrnu 8 x 8</t>
  </si>
  <si>
    <t>183</t>
  </si>
  <si>
    <t>354414150</t>
  </si>
  <si>
    <t>podpěra vedení PV 1b 15 FeZn do zdiva 150 mm</t>
  </si>
  <si>
    <t>184</t>
  </si>
  <si>
    <t>210220101</t>
  </si>
  <si>
    <t>Montáž hromosvodného vedení svodových vodičů s podpěrami průměru do 10 mm</t>
  </si>
  <si>
    <t>185</t>
  </si>
  <si>
    <t>354415600</t>
  </si>
  <si>
    <t>podpěra vedení PV23 FeZn na plechové střechy 110 mm</t>
  </si>
  <si>
    <t>186</t>
  </si>
  <si>
    <t>156152350</t>
  </si>
  <si>
    <t>drát kruhový pozinkovaný měkký 11343 D10,00 mm</t>
  </si>
  <si>
    <t>187</t>
  </si>
  <si>
    <t>210220301</t>
  </si>
  <si>
    <t>Montáž svorek hromosvodných typu SS, SR 03 se 2 šrouby</t>
  </si>
  <si>
    <t>188</t>
  </si>
  <si>
    <t>354418850</t>
  </si>
  <si>
    <t>svorka spojovací SS pro lano D8-10 mm</t>
  </si>
  <si>
    <t>189</t>
  </si>
  <si>
    <t>210220302</t>
  </si>
  <si>
    <t>Montáž svorek hromosvodných typu ST, SJ, SK, SZ, SR 01, 02 se 3 a více šrouby</t>
  </si>
  <si>
    <t>190</t>
  </si>
  <si>
    <t>354419050</t>
  </si>
  <si>
    <t>svorka připojovací SOc k připojení okapových žlabů</t>
  </si>
  <si>
    <t>191</t>
  </si>
  <si>
    <t>210280222</t>
  </si>
  <si>
    <t>Měření zemních odporů zemnící sítě délky pásku do 200 m</t>
  </si>
  <si>
    <t>192</t>
  </si>
  <si>
    <t>PM</t>
  </si>
  <si>
    <t>Přidružený materiál</t>
  </si>
  <si>
    <t>193</t>
  </si>
  <si>
    <t>PPV</t>
  </si>
  <si>
    <t>Podíl přidružených výkonů</t>
  </si>
  <si>
    <t>194</t>
  </si>
  <si>
    <t>ZV</t>
  </si>
  <si>
    <t>Zednické výpomoci</t>
  </si>
  <si>
    <t>195</t>
  </si>
  <si>
    <t>220000000</t>
  </si>
  <si>
    <t>Zatažení stávajícího telefonního vedení pod omítku</t>
  </si>
  <si>
    <t>kpl</t>
  </si>
  <si>
    <t>196</t>
  </si>
  <si>
    <t>220000001</t>
  </si>
  <si>
    <t>Dodávka a montáž zvonkového tabla</t>
  </si>
  <si>
    <t>197</t>
  </si>
  <si>
    <t>198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</si>
  <si>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</si>
  <si>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</si>
  <si>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</si>
  <si>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</si>
  <si>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</si>
  <si>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</si>
  <si>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</si>
  <si>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</si>
  <si>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</si>
  <si>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ZADÁNÍ ROZPOČTU</t>
  </si>
  <si>
    <t>12/040</t>
  </si>
  <si>
    <t>Investor:</t>
  </si>
  <si>
    <t>SMO Městský  obvod Vítkovice , Mírové Náměstí 1 ,</t>
  </si>
  <si>
    <t>706 02 Ostrava - Vítkovice</t>
  </si>
  <si>
    <r>
      <t>Stavba</t>
    </r>
    <r>
      <rPr>
        <b/>
        <sz val="12"/>
        <rFont val="Times New Roman"/>
        <family val="1"/>
      </rPr>
      <t>:</t>
    </r>
  </si>
  <si>
    <t>OSTRAVA -VÍTKOVICE, UL. TAVIČSKÁ 34</t>
  </si>
  <si>
    <t xml:space="preserve">OPRAVA FASÁDY  DOMU  </t>
  </si>
  <si>
    <t xml:space="preserve">A ČÁSTEČNÁ  VÝMĚNA OKEN  </t>
  </si>
  <si>
    <t xml:space="preserve">F. Výkresová  dokumentace </t>
  </si>
  <si>
    <t>Stupeň:</t>
  </si>
  <si>
    <t>Dokumentace pro ohlášení stavby</t>
  </si>
  <si>
    <t xml:space="preserve">Datum  :        </t>
  </si>
  <si>
    <t>07/2012</t>
  </si>
  <si>
    <t>Z.č.: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</si>
</sst>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5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sz val="8"/>
      <color indexed="56"/>
      <name val="Trebuchet MS"/>
      <family val="0"/>
    </font>
    <font>
      <i/>
      <sz val="8"/>
      <color indexed="12"/>
      <name val="Trebuchet MS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 CE"/>
      <family val="0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223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4" borderId="0" xfId="0" applyFont="1" applyFill="1" applyAlignment="1">
      <alignment horizontal="left" vertical="center"/>
    </xf>
    <xf numFmtId="49" fontId="9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8" fillId="0" borderId="31" xfId="0" applyFont="1" applyBorder="1" applyAlignment="1" applyProtection="1">
      <alignment horizontal="center" vertical="center" wrapTex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164" fontId="22" fillId="0" borderId="24" xfId="0" applyNumberFormat="1" applyFont="1" applyBorder="1" applyAlignment="1" applyProtection="1">
      <alignment horizontal="right" vertical="center"/>
      <protection/>
    </xf>
    <xf numFmtId="164" fontId="22" fillId="0" borderId="25" xfId="0" applyNumberFormat="1" applyFont="1" applyBorder="1" applyAlignment="1" applyProtection="1">
      <alignment horizontal="right" vertical="center"/>
      <protection/>
    </xf>
    <xf numFmtId="167" fontId="22" fillId="0" borderId="25" xfId="0" applyNumberFormat="1" applyFont="1" applyBorder="1" applyAlignment="1" applyProtection="1">
      <alignment horizontal="right" vertical="center"/>
      <protection/>
    </xf>
    <xf numFmtId="164" fontId="22" fillId="0" borderId="26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/>
      <protection/>
    </xf>
    <xf numFmtId="165" fontId="15" fillId="34" borderId="34" xfId="0" applyNumberFormat="1" applyFont="1" applyFill="1" applyBorder="1" applyAlignment="1">
      <alignment horizontal="center" vertical="center"/>
    </xf>
    <xf numFmtId="0" fontId="15" fillId="0" borderId="34" xfId="0" applyFont="1" applyBorder="1" applyAlignment="1" applyProtection="1">
      <alignment horizontal="center" vertical="center"/>
      <protection/>
    </xf>
    <xf numFmtId="165" fontId="15" fillId="34" borderId="35" xfId="0" applyNumberFormat="1" applyFont="1" applyFill="1" applyBorder="1" applyAlignment="1">
      <alignment horizontal="center" vertical="center"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9" fillId="35" borderId="30" xfId="0" applyFont="1" applyFill="1" applyBorder="1" applyAlignment="1" applyProtection="1">
      <alignment horizontal="center" vertical="center" wrapText="1"/>
      <protection/>
    </xf>
    <xf numFmtId="0" fontId="9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7" fillId="0" borderId="14" xfId="0" applyFont="1" applyBorder="1" applyAlignment="1" applyProtection="1">
      <alignment horizontal="left"/>
      <protection/>
    </xf>
    <xf numFmtId="0" fontId="27" fillId="0" borderId="22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3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0" fontId="23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8" fillId="0" borderId="33" xfId="0" applyFont="1" applyBorder="1" applyAlignment="1" applyProtection="1">
      <alignment horizontal="center" vertical="center"/>
      <protection/>
    </xf>
    <xf numFmtId="49" fontId="28" fillId="0" borderId="33" xfId="0" applyNumberFormat="1" applyFont="1" applyBorder="1" applyAlignment="1" applyProtection="1">
      <alignment horizontal="left" vertical="center" wrapText="1"/>
      <protection/>
    </xf>
    <xf numFmtId="0" fontId="28" fillId="0" borderId="33" xfId="0" applyFont="1" applyBorder="1" applyAlignment="1" applyProtection="1">
      <alignment horizontal="center" vertical="center" wrapText="1"/>
      <protection/>
    </xf>
    <xf numFmtId="168" fontId="28" fillId="0" borderId="33" xfId="0" applyNumberFormat="1" applyFont="1" applyBorder="1" applyAlignment="1" applyProtection="1">
      <alignment horizontal="right" vertical="center"/>
      <protection/>
    </xf>
    <xf numFmtId="168" fontId="0" fillId="34" borderId="33" xfId="0" applyNumberFormat="1" applyFont="1" applyFill="1" applyBorder="1" applyAlignment="1">
      <alignment horizontal="right" vertical="center"/>
    </xf>
    <xf numFmtId="0" fontId="0" fillId="0" borderId="24" xfId="0" applyBorder="1" applyAlignment="1" applyProtection="1">
      <alignment horizontal="left" vertical="center"/>
      <protection/>
    </xf>
    <xf numFmtId="0" fontId="73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4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29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3" fillId="0" borderId="0" xfId="0" applyFont="1" applyAlignment="1" applyProtection="1">
      <alignment horizontal="left" indent="15"/>
      <protection/>
    </xf>
    <xf numFmtId="0" fontId="3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4" fillId="0" borderId="0" xfId="0" applyFont="1" applyAlignment="1" applyProtection="1">
      <alignment horizontal="left" indent="7"/>
      <protection/>
    </xf>
    <xf numFmtId="0" fontId="30" fillId="0" borderId="0" xfId="0" applyFont="1" applyAlignment="1" applyProtection="1">
      <alignment horizontal="left" indent="7"/>
      <protection/>
    </xf>
    <xf numFmtId="0" fontId="30" fillId="0" borderId="0" xfId="0" applyFont="1" applyAlignment="1" applyProtection="1">
      <alignment horizontal="left" indent="15"/>
      <protection/>
    </xf>
    <xf numFmtId="49" fontId="30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49" fontId="9" fillId="34" borderId="0" xfId="0" applyNumberFormat="1" applyFont="1" applyFill="1" applyAlignment="1">
      <alignment horizontal="left" vertical="top"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7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7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center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 applyProtection="1">
      <alignment horizontal="right" vertical="center"/>
      <protection/>
    </xf>
    <xf numFmtId="0" fontId="23" fillId="34" borderId="0" xfId="0" applyFont="1" applyFill="1" applyAlignment="1">
      <alignment horizontal="left" vertical="center"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6" fontId="9" fillId="34" borderId="0" xfId="0" applyNumberFormat="1" applyFont="1" applyFill="1" applyAlignment="1">
      <alignment horizontal="left" vertical="top"/>
    </xf>
    <xf numFmtId="0" fontId="9" fillId="34" borderId="0" xfId="0" applyFont="1" applyFill="1" applyAlignment="1">
      <alignment horizontal="left" vertical="center"/>
    </xf>
    <xf numFmtId="164" fontId="12" fillId="0" borderId="0" xfId="0" applyNumberFormat="1" applyFont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9" fillId="35" borderId="0" xfId="0" applyFont="1" applyFill="1" applyAlignment="1" applyProtection="1">
      <alignment horizontal="center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9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28" fillId="0" borderId="33" xfId="0" applyFont="1" applyBorder="1" applyAlignment="1" applyProtection="1">
      <alignment horizontal="left" vertical="center" wrapText="1"/>
      <protection/>
    </xf>
    <xf numFmtId="0" fontId="28" fillId="0" borderId="33" xfId="0" applyFont="1" applyBorder="1" applyAlignment="1" applyProtection="1">
      <alignment horizontal="left" vertical="center"/>
      <protection/>
    </xf>
    <xf numFmtId="164" fontId="28" fillId="34" borderId="33" xfId="0" applyNumberFormat="1" applyFont="1" applyFill="1" applyBorder="1" applyAlignment="1">
      <alignment horizontal="right" vertical="center"/>
    </xf>
    <xf numFmtId="164" fontId="28" fillId="0" borderId="33" xfId="0" applyNumberFormat="1" applyFont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/>
      <protection/>
    </xf>
    <xf numFmtId="164" fontId="25" fillId="0" borderId="0" xfId="0" applyNumberFormat="1" applyFont="1" applyAlignment="1" applyProtection="1">
      <alignment horizontal="right"/>
      <protection/>
    </xf>
    <xf numFmtId="0" fontId="27" fillId="0" borderId="0" xfId="0" applyFont="1" applyAlignment="1" applyProtection="1">
      <alignment horizontal="left"/>
      <protection/>
    </xf>
    <xf numFmtId="164" fontId="23" fillId="0" borderId="0" xfId="0" applyNumberFormat="1" applyFont="1" applyAlignment="1" applyProtection="1">
      <alignment horizontal="right"/>
      <protection/>
    </xf>
    <xf numFmtId="0" fontId="74" fillId="33" borderId="0" xfId="36" applyFont="1" applyFill="1" applyAlignment="1" applyProtection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F:\Program Files\KROSplus\System\Temp\rad4C994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F:\Program Files\KROSplus\System\Temp\rad12BC3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4C994.tmp" descr="F:\Program Files\KROSplus\System\Temp\rad4C99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2BC3.tmp" descr="F:\Program Files\KROSplus\System\Temp\rad12BC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60" zoomScaleNormal="60" zoomScalePageLayoutView="0" workbookViewId="0" topLeftCell="A1">
      <selection activeCell="V39" sqref="V39"/>
    </sheetView>
  </sheetViews>
  <sheetFormatPr defaultColWidth="9.33203125" defaultRowHeight="13.5"/>
  <sheetData>
    <row r="1" spans="1:8" ht="15.75">
      <c r="A1" s="146"/>
      <c r="B1" s="146"/>
      <c r="C1" s="147"/>
      <c r="D1" s="146"/>
      <c r="E1" s="147"/>
      <c r="F1" s="147"/>
      <c r="G1" s="146"/>
      <c r="H1" s="146"/>
    </row>
    <row r="2" spans="1:8" ht="15.75">
      <c r="A2" s="146"/>
      <c r="B2" s="146"/>
      <c r="C2" s="146"/>
      <c r="D2" s="147"/>
      <c r="E2" s="146"/>
      <c r="F2" s="146"/>
      <c r="G2" s="146"/>
      <c r="H2" s="146"/>
    </row>
    <row r="3" spans="1:8" ht="15.75">
      <c r="A3" s="146"/>
      <c r="B3" s="146"/>
      <c r="C3" s="146"/>
      <c r="D3" s="146"/>
      <c r="E3" s="146"/>
      <c r="F3" s="146"/>
      <c r="G3" s="146"/>
      <c r="H3" s="146"/>
    </row>
    <row r="4" spans="1:8" ht="15.75">
      <c r="A4" s="147"/>
      <c r="B4" s="146"/>
      <c r="C4" s="147"/>
      <c r="D4" s="146"/>
      <c r="E4" s="146"/>
      <c r="F4" s="146"/>
      <c r="G4" s="146"/>
      <c r="H4" s="146"/>
    </row>
    <row r="5" spans="1:8" ht="15.75">
      <c r="A5" s="147"/>
      <c r="B5" s="146"/>
      <c r="C5" s="146"/>
      <c r="D5" s="146"/>
      <c r="E5" s="146"/>
      <c r="F5" s="146"/>
      <c r="G5" s="146"/>
      <c r="H5" s="146"/>
    </row>
    <row r="6" spans="1:8" ht="15.75">
      <c r="A6" s="147"/>
      <c r="B6" s="146"/>
      <c r="C6" s="146"/>
      <c r="D6" s="146"/>
      <c r="E6" s="146"/>
      <c r="F6" s="146"/>
      <c r="G6" s="146"/>
      <c r="H6" s="146"/>
    </row>
    <row r="7" spans="1:8" ht="15.75">
      <c r="A7" s="147"/>
      <c r="B7" s="146"/>
      <c r="C7" s="146"/>
      <c r="D7" s="146"/>
      <c r="E7" s="146"/>
      <c r="F7" s="146"/>
      <c r="G7" s="146"/>
      <c r="H7" s="146"/>
    </row>
    <row r="8" spans="1:8" ht="15.75">
      <c r="A8" s="146"/>
      <c r="B8" s="146"/>
      <c r="C8" s="146"/>
      <c r="D8" s="146"/>
      <c r="E8" s="146"/>
      <c r="F8" s="146"/>
      <c r="G8" s="146"/>
      <c r="H8" s="146"/>
    </row>
    <row r="9" spans="1:8" ht="15.75">
      <c r="A9" s="146"/>
      <c r="B9" s="146"/>
      <c r="C9" s="146"/>
      <c r="D9" s="146"/>
      <c r="E9" s="146"/>
      <c r="F9" s="146"/>
      <c r="G9" s="146"/>
      <c r="H9" s="146"/>
    </row>
    <row r="10" spans="1:8" ht="15.75">
      <c r="A10" s="147"/>
      <c r="B10" s="146"/>
      <c r="C10" s="146"/>
      <c r="D10" s="146"/>
      <c r="E10" s="146"/>
      <c r="F10" s="146"/>
      <c r="G10" s="146"/>
      <c r="H10" s="146"/>
    </row>
    <row r="11" spans="1:8" ht="15.75">
      <c r="A11" s="147"/>
      <c r="B11" s="146"/>
      <c r="C11" s="146"/>
      <c r="D11" s="146"/>
      <c r="E11" s="146"/>
      <c r="F11" s="146"/>
      <c r="G11" s="146"/>
      <c r="H11" s="146"/>
    </row>
    <row r="12" spans="1:8" ht="20.25">
      <c r="A12" s="146"/>
      <c r="B12" s="146"/>
      <c r="C12" s="148"/>
      <c r="D12" s="149" t="s">
        <v>764</v>
      </c>
      <c r="E12" s="149"/>
      <c r="F12" s="147"/>
      <c r="G12" s="146"/>
      <c r="H12" s="146"/>
    </row>
    <row r="13" spans="1:8" ht="15.75">
      <c r="A13" s="146"/>
      <c r="B13" s="146"/>
      <c r="C13" s="147"/>
      <c r="D13" s="146"/>
      <c r="E13" s="146"/>
      <c r="F13" s="146"/>
      <c r="G13" s="146"/>
      <c r="H13" s="146"/>
    </row>
    <row r="14" spans="1:8" ht="15.75">
      <c r="A14" s="146"/>
      <c r="B14" s="146"/>
      <c r="C14" s="146"/>
      <c r="D14" s="146"/>
      <c r="E14" s="146"/>
      <c r="F14" s="146"/>
      <c r="G14" s="146"/>
      <c r="H14" s="146"/>
    </row>
    <row r="15" spans="1:8" ht="15.75">
      <c r="A15" s="146"/>
      <c r="B15" s="146"/>
      <c r="C15" s="146"/>
      <c r="D15" s="146"/>
      <c r="E15" s="146"/>
      <c r="F15" s="146"/>
      <c r="G15" s="146"/>
      <c r="H15" s="146"/>
    </row>
    <row r="16" spans="1:8" ht="15.75">
      <c r="A16" s="147"/>
      <c r="B16" s="146"/>
      <c r="C16" s="146"/>
      <c r="D16" s="146"/>
      <c r="E16" s="146"/>
      <c r="F16" s="146"/>
      <c r="G16" s="146"/>
      <c r="H16" s="146"/>
    </row>
    <row r="17" spans="1:8" ht="15.75">
      <c r="A17" s="146"/>
      <c r="B17" s="146"/>
      <c r="C17" s="146"/>
      <c r="D17" s="146"/>
      <c r="E17" s="146"/>
      <c r="F17" s="146"/>
      <c r="G17" s="146"/>
      <c r="H17" s="146"/>
    </row>
    <row r="18" spans="1:8" ht="15.75">
      <c r="A18" s="146"/>
      <c r="B18" s="146"/>
      <c r="C18" s="146"/>
      <c r="D18" s="146"/>
      <c r="E18" s="146"/>
      <c r="F18" s="146"/>
      <c r="G18" s="146"/>
      <c r="H18" s="146"/>
    </row>
    <row r="19" spans="1:8" ht="15.75">
      <c r="A19" s="146"/>
      <c r="B19" s="146"/>
      <c r="C19" s="146"/>
      <c r="D19" s="146"/>
      <c r="E19" s="146"/>
      <c r="F19" s="146"/>
      <c r="G19" s="146"/>
      <c r="H19" s="146"/>
    </row>
    <row r="20" spans="1:8" ht="15.75">
      <c r="A20" s="146"/>
      <c r="B20" s="146"/>
      <c r="C20" s="146"/>
      <c r="D20" s="146"/>
      <c r="E20" s="146"/>
      <c r="F20" s="146"/>
      <c r="G20" s="146"/>
      <c r="H20" s="146"/>
    </row>
    <row r="21" spans="1:8" ht="15.75">
      <c r="A21" s="146"/>
      <c r="B21" s="146"/>
      <c r="C21" s="146"/>
      <c r="D21" s="146"/>
      <c r="E21" s="146"/>
      <c r="F21" s="146"/>
      <c r="G21" s="146"/>
      <c r="H21" s="146"/>
    </row>
    <row r="22" spans="1:8" ht="15.75">
      <c r="A22" s="146"/>
      <c r="B22" s="146"/>
      <c r="C22" s="146"/>
      <c r="D22" s="146"/>
      <c r="E22" s="146"/>
      <c r="F22" s="146"/>
      <c r="G22" s="146"/>
      <c r="H22" s="146"/>
    </row>
    <row r="23" spans="1:8" ht="15.75">
      <c r="A23" s="146"/>
      <c r="B23" s="146"/>
      <c r="C23" s="146"/>
      <c r="D23" s="146"/>
      <c r="E23" s="146"/>
      <c r="F23" s="146"/>
      <c r="G23" s="146"/>
      <c r="H23" s="146"/>
    </row>
    <row r="24" spans="1:8" ht="25.5">
      <c r="A24" s="146"/>
      <c r="B24" s="150"/>
      <c r="C24" s="150"/>
      <c r="D24" s="146"/>
      <c r="E24" s="151" t="s">
        <v>765</v>
      </c>
      <c r="F24" s="146"/>
      <c r="G24" s="146"/>
      <c r="H24" s="146"/>
    </row>
    <row r="25" spans="1:8" ht="25.5">
      <c r="A25" s="152"/>
      <c r="B25" s="150"/>
      <c r="C25" s="150"/>
      <c r="D25" s="146"/>
      <c r="E25" s="146"/>
      <c r="F25" s="146"/>
      <c r="G25" s="146"/>
      <c r="H25" s="146"/>
    </row>
    <row r="26" spans="1:8" ht="16.5">
      <c r="A26" s="153"/>
      <c r="B26" s="150"/>
      <c r="C26" s="150"/>
      <c r="D26" s="147"/>
      <c r="E26" s="147"/>
      <c r="F26" s="147"/>
      <c r="G26" s="147"/>
      <c r="H26" s="146"/>
    </row>
    <row r="27" spans="1:8" ht="16.5">
      <c r="A27" s="150" t="s">
        <v>766</v>
      </c>
      <c r="B27" s="150"/>
      <c r="C27" s="154" t="s">
        <v>767</v>
      </c>
      <c r="D27" s="147"/>
      <c r="E27" s="147"/>
      <c r="F27" s="147"/>
      <c r="G27" s="147"/>
      <c r="H27" s="146"/>
    </row>
    <row r="28" spans="1:8" ht="15.75">
      <c r="A28" s="146"/>
      <c r="B28" s="146"/>
      <c r="C28" s="154" t="s">
        <v>768</v>
      </c>
      <c r="D28" s="146"/>
      <c r="E28" s="146"/>
      <c r="F28" s="146"/>
      <c r="G28" s="146"/>
      <c r="H28" s="146"/>
    </row>
    <row r="29" spans="1:8" ht="16.5">
      <c r="A29" s="147"/>
      <c r="B29" s="150"/>
      <c r="C29" s="150"/>
      <c r="D29" s="146"/>
      <c r="E29" s="146"/>
      <c r="F29" s="146"/>
      <c r="G29" s="146"/>
      <c r="H29" s="146"/>
    </row>
    <row r="30" spans="1:8" ht="16.5">
      <c r="A30" s="147"/>
      <c r="B30" s="150"/>
      <c r="C30" s="150"/>
      <c r="D30" s="146"/>
      <c r="E30" s="146"/>
      <c r="F30" s="146"/>
      <c r="G30" s="146"/>
      <c r="H30" s="146"/>
    </row>
    <row r="31" spans="1:8" ht="16.5">
      <c r="A31" s="150" t="s">
        <v>769</v>
      </c>
      <c r="B31" s="150"/>
      <c r="C31" s="154" t="s">
        <v>770</v>
      </c>
      <c r="D31" s="146"/>
      <c r="E31" s="150"/>
      <c r="F31" s="146"/>
      <c r="G31" s="146"/>
      <c r="H31" s="146"/>
    </row>
    <row r="32" spans="1:8" ht="16.5">
      <c r="A32" s="146"/>
      <c r="B32" s="150"/>
      <c r="C32" s="154" t="s">
        <v>771</v>
      </c>
      <c r="D32" s="150"/>
      <c r="E32" s="150"/>
      <c r="F32" s="150"/>
      <c r="G32" s="150"/>
      <c r="H32" s="150"/>
    </row>
    <row r="33" spans="1:8" ht="16.5">
      <c r="A33" s="146"/>
      <c r="B33" s="150"/>
      <c r="C33" s="154" t="s">
        <v>772</v>
      </c>
      <c r="D33" s="146"/>
      <c r="E33" s="146"/>
      <c r="F33" s="146"/>
      <c r="G33" s="146"/>
      <c r="H33" s="146"/>
    </row>
    <row r="34" spans="1:8" ht="16.5">
      <c r="A34" s="155"/>
      <c r="B34" s="150"/>
      <c r="C34" s="150"/>
      <c r="D34" s="146"/>
      <c r="E34" s="146"/>
      <c r="F34" s="146"/>
      <c r="G34" s="146"/>
      <c r="H34" s="146"/>
    </row>
    <row r="35" spans="1:8" ht="16.5">
      <c r="A35" s="156"/>
      <c r="B35" s="150"/>
      <c r="C35" s="147" t="s">
        <v>773</v>
      </c>
      <c r="D35" s="146"/>
      <c r="E35" s="146"/>
      <c r="F35" s="146"/>
      <c r="G35" s="146"/>
      <c r="H35" s="146"/>
    </row>
    <row r="36" spans="1:8" ht="16.5">
      <c r="A36" s="157"/>
      <c r="B36" s="150"/>
      <c r="C36" s="150"/>
      <c r="D36" s="146"/>
      <c r="E36" s="146"/>
      <c r="F36" s="146"/>
      <c r="G36" s="146"/>
      <c r="H36" s="146"/>
    </row>
    <row r="37" spans="1:8" ht="16.5">
      <c r="A37" s="147"/>
      <c r="B37" s="150"/>
      <c r="C37" s="150"/>
      <c r="D37" s="146"/>
      <c r="E37" s="146"/>
      <c r="F37" s="146"/>
      <c r="G37" s="146"/>
      <c r="H37" s="146"/>
    </row>
    <row r="38" spans="1:8" ht="16.5">
      <c r="A38" s="150" t="s">
        <v>774</v>
      </c>
      <c r="B38" s="146"/>
      <c r="C38" s="154" t="s">
        <v>775</v>
      </c>
      <c r="D38" s="146"/>
      <c r="E38" s="146"/>
      <c r="F38" s="146"/>
      <c r="G38" s="146"/>
      <c r="H38" s="146"/>
    </row>
    <row r="39" spans="1:8" ht="15.75">
      <c r="A39" s="146"/>
      <c r="B39" s="146"/>
      <c r="C39" s="146"/>
      <c r="D39" s="146"/>
      <c r="E39" s="146"/>
      <c r="F39" s="146"/>
      <c r="G39" s="146"/>
      <c r="H39" s="146"/>
    </row>
    <row r="40" spans="1:8" ht="15.75">
      <c r="A40" s="146" t="s">
        <v>776</v>
      </c>
      <c r="B40" s="146"/>
      <c r="C40" s="158" t="s">
        <v>777</v>
      </c>
      <c r="D40" s="146"/>
      <c r="E40" s="146"/>
      <c r="F40" s="146"/>
      <c r="G40" s="146"/>
      <c r="H40" s="146"/>
    </row>
    <row r="41" spans="1:8" ht="16.5">
      <c r="A41" s="146"/>
      <c r="B41" s="146"/>
      <c r="C41" s="146"/>
      <c r="D41" s="146"/>
      <c r="E41" s="146"/>
      <c r="F41" s="150"/>
      <c r="G41" s="150"/>
      <c r="H41" s="150"/>
    </row>
    <row r="42" spans="1:8" ht="15.75">
      <c r="A42" s="146" t="s">
        <v>778</v>
      </c>
      <c r="B42" s="146"/>
      <c r="C42" s="158" t="s">
        <v>765</v>
      </c>
      <c r="D42" s="146"/>
      <c r="E42" s="146"/>
      <c r="F42" s="146"/>
      <c r="G42" s="146"/>
      <c r="H42" s="146"/>
    </row>
    <row r="43" spans="1:8" ht="15.75">
      <c r="A43" s="146"/>
      <c r="B43" s="146"/>
      <c r="C43" s="158"/>
      <c r="D43" s="146"/>
      <c r="E43" s="146"/>
      <c r="F43" s="146"/>
      <c r="G43" s="146"/>
      <c r="H43" s="146"/>
    </row>
    <row r="44" spans="1:8" ht="15.75">
      <c r="A44" s="146"/>
      <c r="B44" s="146"/>
      <c r="C44" s="147"/>
      <c r="D44" s="146"/>
      <c r="E44" s="146"/>
      <c r="F44" s="146"/>
      <c r="G44" s="146"/>
      <c r="H44" s="146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1" t="s">
        <v>0</v>
      </c>
      <c r="B1" s="142"/>
      <c r="C1" s="142"/>
      <c r="D1" s="143" t="s">
        <v>1</v>
      </c>
      <c r="E1" s="142"/>
      <c r="F1" s="142"/>
      <c r="G1" s="142"/>
      <c r="H1" s="142"/>
      <c r="I1" s="142"/>
      <c r="J1" s="142"/>
      <c r="K1" s="144" t="s">
        <v>757</v>
      </c>
      <c r="L1" s="144"/>
      <c r="M1" s="144"/>
      <c r="N1" s="144"/>
      <c r="O1" s="144"/>
      <c r="P1" s="144"/>
      <c r="Q1" s="144"/>
      <c r="R1" s="144"/>
      <c r="S1" s="144"/>
      <c r="T1" s="142"/>
      <c r="U1" s="142"/>
      <c r="V1" s="142"/>
      <c r="W1" s="144" t="s">
        <v>758</v>
      </c>
      <c r="X1" s="144"/>
      <c r="Y1" s="144"/>
      <c r="Z1" s="144"/>
      <c r="AA1" s="144"/>
      <c r="AB1" s="144"/>
      <c r="AC1" s="144"/>
      <c r="AD1" s="144"/>
      <c r="AE1" s="144"/>
      <c r="AF1" s="144"/>
      <c r="AG1" s="142"/>
      <c r="AH1" s="142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4" t="s">
        <v>2</v>
      </c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59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R2" s="195" t="s">
        <v>5</v>
      </c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1" t="s">
        <v>9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2"/>
      <c r="AS4" s="13" t="s">
        <v>10</v>
      </c>
      <c r="BE4" s="14" t="s">
        <v>11</v>
      </c>
      <c r="BS4" s="6" t="s">
        <v>12</v>
      </c>
    </row>
    <row r="5" spans="2:71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2"/>
      <c r="BE5" s="163" t="s">
        <v>13</v>
      </c>
      <c r="BS5" s="6" t="s">
        <v>6</v>
      </c>
    </row>
    <row r="6" spans="2:71" s="2" customFormat="1" ht="26.25" customHeight="1">
      <c r="B6" s="10"/>
      <c r="C6" s="11"/>
      <c r="D6" s="15" t="s">
        <v>14</v>
      </c>
      <c r="E6" s="11"/>
      <c r="F6" s="11"/>
      <c r="G6" s="11"/>
      <c r="H6" s="11"/>
      <c r="I6" s="11"/>
      <c r="J6" s="11"/>
      <c r="K6" s="166" t="s">
        <v>15</v>
      </c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1"/>
      <c r="AQ6" s="12"/>
      <c r="BE6" s="160"/>
      <c r="BS6" s="6" t="s">
        <v>16</v>
      </c>
    </row>
    <row r="7" spans="2:71" s="2" customFormat="1" ht="7.5" customHeigh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2"/>
      <c r="BE7" s="160"/>
      <c r="BS7" s="6" t="s">
        <v>17</v>
      </c>
    </row>
    <row r="8" spans="2:71" s="2" customFormat="1" ht="15" customHeight="1">
      <c r="B8" s="10"/>
      <c r="C8" s="11"/>
      <c r="D8" s="16" t="s">
        <v>18</v>
      </c>
      <c r="E8" s="11"/>
      <c r="F8" s="11"/>
      <c r="G8" s="11"/>
      <c r="H8" s="11"/>
      <c r="I8" s="11"/>
      <c r="J8" s="11"/>
      <c r="K8" s="17" t="s">
        <v>19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6" t="s">
        <v>20</v>
      </c>
      <c r="AL8" s="11"/>
      <c r="AM8" s="11"/>
      <c r="AN8" s="18" t="s">
        <v>21</v>
      </c>
      <c r="AO8" s="11"/>
      <c r="AP8" s="11"/>
      <c r="AQ8" s="12"/>
      <c r="BE8" s="160"/>
      <c r="BS8" s="6" t="s">
        <v>22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60"/>
      <c r="BS9" s="6" t="s">
        <v>23</v>
      </c>
    </row>
    <row r="10" spans="2:71" s="2" customFormat="1" ht="15" customHeight="1">
      <c r="B10" s="10"/>
      <c r="C10" s="11"/>
      <c r="D10" s="16" t="s">
        <v>24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6" t="s">
        <v>25</v>
      </c>
      <c r="AL10" s="11"/>
      <c r="AM10" s="11"/>
      <c r="AN10" s="17"/>
      <c r="AO10" s="11"/>
      <c r="AP10" s="11"/>
      <c r="AQ10" s="12"/>
      <c r="BE10" s="160"/>
      <c r="BS10" s="6" t="s">
        <v>16</v>
      </c>
    </row>
    <row r="11" spans="2:71" s="2" customFormat="1" ht="19.5" customHeight="1">
      <c r="B11" s="10"/>
      <c r="C11" s="11"/>
      <c r="D11" s="11"/>
      <c r="E11" s="17" t="s">
        <v>26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6" t="s">
        <v>27</v>
      </c>
      <c r="AL11" s="11"/>
      <c r="AM11" s="11"/>
      <c r="AN11" s="17"/>
      <c r="AO11" s="11"/>
      <c r="AP11" s="11"/>
      <c r="AQ11" s="12"/>
      <c r="BE11" s="160"/>
      <c r="BS11" s="6" t="s">
        <v>16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60"/>
      <c r="BS12" s="6" t="s">
        <v>16</v>
      </c>
    </row>
    <row r="13" spans="2:71" s="2" customFormat="1" ht="15" customHeight="1">
      <c r="B13" s="10"/>
      <c r="C13" s="11"/>
      <c r="D13" s="16" t="s">
        <v>28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6" t="s">
        <v>25</v>
      </c>
      <c r="AL13" s="11"/>
      <c r="AM13" s="11"/>
      <c r="AN13" s="19" t="s">
        <v>29</v>
      </c>
      <c r="AO13" s="11"/>
      <c r="AP13" s="11"/>
      <c r="AQ13" s="12"/>
      <c r="BE13" s="160"/>
      <c r="BS13" s="6" t="s">
        <v>16</v>
      </c>
    </row>
    <row r="14" spans="2:71" s="2" customFormat="1" ht="15.75" customHeight="1">
      <c r="B14" s="10"/>
      <c r="C14" s="11"/>
      <c r="D14" s="11"/>
      <c r="E14" s="167" t="s">
        <v>29</v>
      </c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" t="s">
        <v>27</v>
      </c>
      <c r="AL14" s="11"/>
      <c r="AM14" s="11"/>
      <c r="AN14" s="19" t="s">
        <v>29</v>
      </c>
      <c r="AO14" s="11"/>
      <c r="AP14" s="11"/>
      <c r="AQ14" s="12"/>
      <c r="BE14" s="160"/>
      <c r="BS14" s="6" t="s">
        <v>16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60"/>
      <c r="BS15" s="6" t="s">
        <v>3</v>
      </c>
    </row>
    <row r="16" spans="2:71" s="2" customFormat="1" ht="15" customHeight="1">
      <c r="B16" s="10"/>
      <c r="C16" s="11"/>
      <c r="D16" s="16" t="s">
        <v>30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6" t="s">
        <v>25</v>
      </c>
      <c r="AL16" s="11"/>
      <c r="AM16" s="11"/>
      <c r="AN16" s="17"/>
      <c r="AO16" s="11"/>
      <c r="AP16" s="11"/>
      <c r="AQ16" s="12"/>
      <c r="BE16" s="160"/>
      <c r="BS16" s="6" t="s">
        <v>3</v>
      </c>
    </row>
    <row r="17" spans="2:71" s="2" customFormat="1" ht="19.5" customHeight="1">
      <c r="B17" s="10"/>
      <c r="C17" s="11"/>
      <c r="D17" s="11"/>
      <c r="E17" s="17" t="s">
        <v>31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6" t="s">
        <v>27</v>
      </c>
      <c r="AL17" s="11"/>
      <c r="AM17" s="11"/>
      <c r="AN17" s="17"/>
      <c r="AO17" s="11"/>
      <c r="AP17" s="11"/>
      <c r="AQ17" s="12"/>
      <c r="BE17" s="160"/>
      <c r="BS17" s="6" t="s">
        <v>3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60"/>
      <c r="BS18" s="6" t="s">
        <v>6</v>
      </c>
    </row>
    <row r="19" spans="2:71" s="2" customFormat="1" ht="15" customHeight="1">
      <c r="B19" s="10"/>
      <c r="C19" s="11"/>
      <c r="D19" s="16" t="s">
        <v>32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6" t="s">
        <v>25</v>
      </c>
      <c r="AL19" s="11"/>
      <c r="AM19" s="11"/>
      <c r="AN19" s="17"/>
      <c r="AO19" s="11"/>
      <c r="AP19" s="11"/>
      <c r="AQ19" s="12"/>
      <c r="BE19" s="160"/>
      <c r="BS19" s="6" t="s">
        <v>16</v>
      </c>
    </row>
    <row r="20" spans="2:57" s="2" customFormat="1" ht="19.5" customHeight="1">
      <c r="B20" s="10"/>
      <c r="C20" s="11"/>
      <c r="D20" s="11"/>
      <c r="E20" s="17" t="s">
        <v>33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6" t="s">
        <v>27</v>
      </c>
      <c r="AL20" s="11"/>
      <c r="AM20" s="11"/>
      <c r="AN20" s="17"/>
      <c r="AO20" s="11"/>
      <c r="AP20" s="11"/>
      <c r="AQ20" s="12"/>
      <c r="BE20" s="160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60"/>
    </row>
    <row r="22" spans="2:57" s="2" customFormat="1" ht="7.5" customHeight="1">
      <c r="B22" s="10"/>
      <c r="C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11"/>
      <c r="AQ22" s="12"/>
      <c r="BE22" s="160"/>
    </row>
    <row r="23" spans="2:57" s="2" customFormat="1" ht="15" customHeight="1">
      <c r="B23" s="10"/>
      <c r="C23" s="11"/>
      <c r="D23" s="21" t="s">
        <v>34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68">
        <f>ROUNDUP($AG$87,2)</f>
        <v>0</v>
      </c>
      <c r="AL23" s="162"/>
      <c r="AM23" s="162"/>
      <c r="AN23" s="162"/>
      <c r="AO23" s="162"/>
      <c r="AP23" s="11"/>
      <c r="AQ23" s="12"/>
      <c r="BE23" s="160"/>
    </row>
    <row r="24" spans="2:57" s="2" customFormat="1" ht="15" customHeight="1">
      <c r="B24" s="10"/>
      <c r="C24" s="11"/>
      <c r="D24" s="21" t="s">
        <v>35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68">
        <f>ROUNDUP($AG$90,2)</f>
        <v>0</v>
      </c>
      <c r="AL24" s="162"/>
      <c r="AM24" s="162"/>
      <c r="AN24" s="162"/>
      <c r="AO24" s="162"/>
      <c r="AP24" s="11"/>
      <c r="AQ24" s="12"/>
      <c r="BE24" s="160"/>
    </row>
    <row r="25" spans="2:57" s="6" customFormat="1" ht="7.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4"/>
      <c r="BE25" s="164"/>
    </row>
    <row r="26" spans="2:57" s="6" customFormat="1" ht="27" customHeight="1">
      <c r="B26" s="22"/>
      <c r="C26" s="23"/>
      <c r="D26" s="25" t="s">
        <v>36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69">
        <f>ROUNDUP($AK$23+$AK$24,2)</f>
        <v>0</v>
      </c>
      <c r="AL26" s="170"/>
      <c r="AM26" s="170"/>
      <c r="AN26" s="170"/>
      <c r="AO26" s="170"/>
      <c r="AP26" s="23"/>
      <c r="AQ26" s="24"/>
      <c r="BE26" s="164"/>
    </row>
    <row r="27" spans="2:57" s="6" customFormat="1" ht="7.5" customHeight="1"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4"/>
      <c r="BE27" s="164"/>
    </row>
    <row r="28" spans="2:57" s="6" customFormat="1" ht="15" customHeight="1">
      <c r="B28" s="27"/>
      <c r="C28" s="28"/>
      <c r="D28" s="28" t="s">
        <v>37</v>
      </c>
      <c r="E28" s="28"/>
      <c r="F28" s="28" t="s">
        <v>38</v>
      </c>
      <c r="G28" s="28"/>
      <c r="H28" s="28"/>
      <c r="I28" s="28"/>
      <c r="J28" s="28"/>
      <c r="K28" s="28"/>
      <c r="L28" s="171">
        <v>0.2</v>
      </c>
      <c r="M28" s="172"/>
      <c r="N28" s="172"/>
      <c r="O28" s="172"/>
      <c r="P28" s="28"/>
      <c r="Q28" s="28"/>
      <c r="R28" s="28"/>
      <c r="S28" s="28"/>
      <c r="T28" s="30" t="s">
        <v>39</v>
      </c>
      <c r="U28" s="28"/>
      <c r="V28" s="28"/>
      <c r="W28" s="173">
        <f>ROUNDUP($AZ$87+SUM($CD$91:$CD$104),2)</f>
        <v>0</v>
      </c>
      <c r="X28" s="172"/>
      <c r="Y28" s="172"/>
      <c r="Z28" s="172"/>
      <c r="AA28" s="172"/>
      <c r="AB28" s="172"/>
      <c r="AC28" s="172"/>
      <c r="AD28" s="172"/>
      <c r="AE28" s="172"/>
      <c r="AF28" s="28"/>
      <c r="AG28" s="28"/>
      <c r="AH28" s="28"/>
      <c r="AI28" s="28"/>
      <c r="AJ28" s="28"/>
      <c r="AK28" s="173">
        <f>ROUNDUP($AV$87+SUM($BY$91:$BY$104),1)</f>
        <v>0</v>
      </c>
      <c r="AL28" s="172"/>
      <c r="AM28" s="172"/>
      <c r="AN28" s="172"/>
      <c r="AO28" s="172"/>
      <c r="AP28" s="28"/>
      <c r="AQ28" s="31"/>
      <c r="BE28" s="165"/>
    </row>
    <row r="29" spans="2:57" s="6" customFormat="1" ht="15" customHeight="1">
      <c r="B29" s="27"/>
      <c r="C29" s="28"/>
      <c r="D29" s="28"/>
      <c r="E29" s="28"/>
      <c r="F29" s="28" t="s">
        <v>40</v>
      </c>
      <c r="G29" s="28"/>
      <c r="H29" s="28"/>
      <c r="I29" s="28"/>
      <c r="J29" s="28"/>
      <c r="K29" s="28"/>
      <c r="L29" s="171">
        <v>0.14</v>
      </c>
      <c r="M29" s="172"/>
      <c r="N29" s="172"/>
      <c r="O29" s="172"/>
      <c r="P29" s="28"/>
      <c r="Q29" s="28"/>
      <c r="R29" s="28"/>
      <c r="S29" s="28"/>
      <c r="T29" s="30" t="s">
        <v>39</v>
      </c>
      <c r="U29" s="28"/>
      <c r="V29" s="28"/>
      <c r="W29" s="173">
        <f>ROUNDUP($BA$87+SUM($CE$91:$CE$104),2)</f>
        <v>0</v>
      </c>
      <c r="X29" s="172"/>
      <c r="Y29" s="172"/>
      <c r="Z29" s="172"/>
      <c r="AA29" s="172"/>
      <c r="AB29" s="172"/>
      <c r="AC29" s="172"/>
      <c r="AD29" s="172"/>
      <c r="AE29" s="172"/>
      <c r="AF29" s="28"/>
      <c r="AG29" s="28"/>
      <c r="AH29" s="28"/>
      <c r="AI29" s="28"/>
      <c r="AJ29" s="28"/>
      <c r="AK29" s="173">
        <f>ROUNDUP($AW$87+SUM($BZ$91:$BZ$104),1)</f>
        <v>0</v>
      </c>
      <c r="AL29" s="172"/>
      <c r="AM29" s="172"/>
      <c r="AN29" s="172"/>
      <c r="AO29" s="172"/>
      <c r="AP29" s="28"/>
      <c r="AQ29" s="31"/>
      <c r="BE29" s="165"/>
    </row>
    <row r="30" spans="2:57" s="6" customFormat="1" ht="15" customHeight="1" hidden="1">
      <c r="B30" s="27"/>
      <c r="C30" s="28"/>
      <c r="D30" s="28"/>
      <c r="E30" s="28"/>
      <c r="F30" s="28" t="s">
        <v>41</v>
      </c>
      <c r="G30" s="28"/>
      <c r="H30" s="28"/>
      <c r="I30" s="28"/>
      <c r="J30" s="28"/>
      <c r="K30" s="28"/>
      <c r="L30" s="171">
        <v>0.2</v>
      </c>
      <c r="M30" s="172"/>
      <c r="N30" s="172"/>
      <c r="O30" s="172"/>
      <c r="P30" s="28"/>
      <c r="Q30" s="28"/>
      <c r="R30" s="28"/>
      <c r="S30" s="28"/>
      <c r="T30" s="30" t="s">
        <v>39</v>
      </c>
      <c r="U30" s="28"/>
      <c r="V30" s="28"/>
      <c r="W30" s="173">
        <f>ROUNDUP($BB$87+SUM($CF$91:$CF$104),2)</f>
        <v>0</v>
      </c>
      <c r="X30" s="172"/>
      <c r="Y30" s="172"/>
      <c r="Z30" s="172"/>
      <c r="AA30" s="172"/>
      <c r="AB30" s="172"/>
      <c r="AC30" s="172"/>
      <c r="AD30" s="172"/>
      <c r="AE30" s="172"/>
      <c r="AF30" s="28"/>
      <c r="AG30" s="28"/>
      <c r="AH30" s="28"/>
      <c r="AI30" s="28"/>
      <c r="AJ30" s="28"/>
      <c r="AK30" s="173">
        <v>0</v>
      </c>
      <c r="AL30" s="172"/>
      <c r="AM30" s="172"/>
      <c r="AN30" s="172"/>
      <c r="AO30" s="172"/>
      <c r="AP30" s="28"/>
      <c r="AQ30" s="31"/>
      <c r="BE30" s="165"/>
    </row>
    <row r="31" spans="2:57" s="6" customFormat="1" ht="15" customHeight="1" hidden="1">
      <c r="B31" s="27"/>
      <c r="C31" s="28"/>
      <c r="D31" s="28"/>
      <c r="E31" s="28"/>
      <c r="F31" s="28" t="s">
        <v>42</v>
      </c>
      <c r="G31" s="28"/>
      <c r="H31" s="28"/>
      <c r="I31" s="28"/>
      <c r="J31" s="28"/>
      <c r="K31" s="28"/>
      <c r="L31" s="171">
        <v>0.14</v>
      </c>
      <c r="M31" s="172"/>
      <c r="N31" s="172"/>
      <c r="O31" s="172"/>
      <c r="P31" s="28"/>
      <c r="Q31" s="28"/>
      <c r="R31" s="28"/>
      <c r="S31" s="28"/>
      <c r="T31" s="30" t="s">
        <v>39</v>
      </c>
      <c r="U31" s="28"/>
      <c r="V31" s="28"/>
      <c r="W31" s="173">
        <f>ROUNDUP($BC$87+SUM($CG$91:$CG$104),2)</f>
        <v>0</v>
      </c>
      <c r="X31" s="172"/>
      <c r="Y31" s="172"/>
      <c r="Z31" s="172"/>
      <c r="AA31" s="172"/>
      <c r="AB31" s="172"/>
      <c r="AC31" s="172"/>
      <c r="AD31" s="172"/>
      <c r="AE31" s="172"/>
      <c r="AF31" s="28"/>
      <c r="AG31" s="28"/>
      <c r="AH31" s="28"/>
      <c r="AI31" s="28"/>
      <c r="AJ31" s="28"/>
      <c r="AK31" s="173">
        <v>0</v>
      </c>
      <c r="AL31" s="172"/>
      <c r="AM31" s="172"/>
      <c r="AN31" s="172"/>
      <c r="AO31" s="172"/>
      <c r="AP31" s="28"/>
      <c r="AQ31" s="31"/>
      <c r="BE31" s="165"/>
    </row>
    <row r="32" spans="2:57" s="6" customFormat="1" ht="15" customHeight="1" hidden="1">
      <c r="B32" s="27"/>
      <c r="C32" s="28"/>
      <c r="D32" s="28"/>
      <c r="E32" s="28"/>
      <c r="F32" s="28" t="s">
        <v>43</v>
      </c>
      <c r="G32" s="28"/>
      <c r="H32" s="28"/>
      <c r="I32" s="28"/>
      <c r="J32" s="28"/>
      <c r="K32" s="28"/>
      <c r="L32" s="171">
        <v>0</v>
      </c>
      <c r="M32" s="172"/>
      <c r="N32" s="172"/>
      <c r="O32" s="172"/>
      <c r="P32" s="28"/>
      <c r="Q32" s="28"/>
      <c r="R32" s="28"/>
      <c r="S32" s="28"/>
      <c r="T32" s="30" t="s">
        <v>39</v>
      </c>
      <c r="U32" s="28"/>
      <c r="V32" s="28"/>
      <c r="W32" s="173">
        <f>ROUNDUP($BD$87+SUM($CH$91:$CH$104),2)</f>
        <v>0</v>
      </c>
      <c r="X32" s="172"/>
      <c r="Y32" s="172"/>
      <c r="Z32" s="172"/>
      <c r="AA32" s="172"/>
      <c r="AB32" s="172"/>
      <c r="AC32" s="172"/>
      <c r="AD32" s="172"/>
      <c r="AE32" s="172"/>
      <c r="AF32" s="28"/>
      <c r="AG32" s="28"/>
      <c r="AH32" s="28"/>
      <c r="AI32" s="28"/>
      <c r="AJ32" s="28"/>
      <c r="AK32" s="173">
        <v>0</v>
      </c>
      <c r="AL32" s="172"/>
      <c r="AM32" s="172"/>
      <c r="AN32" s="172"/>
      <c r="AO32" s="172"/>
      <c r="AP32" s="28"/>
      <c r="AQ32" s="31"/>
      <c r="BE32" s="165"/>
    </row>
    <row r="33" spans="2:57" s="6" customFormat="1" ht="7.5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4"/>
      <c r="BE33" s="164"/>
    </row>
    <row r="34" spans="2:57" s="6" customFormat="1" ht="27" customHeight="1">
      <c r="B34" s="22"/>
      <c r="C34" s="32"/>
      <c r="D34" s="33" t="s">
        <v>44</v>
      </c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5" t="s">
        <v>45</v>
      </c>
      <c r="U34" s="34"/>
      <c r="V34" s="34"/>
      <c r="W34" s="34"/>
      <c r="X34" s="174" t="s">
        <v>46</v>
      </c>
      <c r="Y34" s="175"/>
      <c r="Z34" s="175"/>
      <c r="AA34" s="175"/>
      <c r="AB34" s="175"/>
      <c r="AC34" s="34"/>
      <c r="AD34" s="34"/>
      <c r="AE34" s="34"/>
      <c r="AF34" s="34"/>
      <c r="AG34" s="34"/>
      <c r="AH34" s="34"/>
      <c r="AI34" s="34"/>
      <c r="AJ34" s="34"/>
      <c r="AK34" s="176">
        <f>ROUNDUP(SUM($AK$26:$AK$32),2)</f>
        <v>0</v>
      </c>
      <c r="AL34" s="175"/>
      <c r="AM34" s="175"/>
      <c r="AN34" s="175"/>
      <c r="AO34" s="177"/>
      <c r="AP34" s="32"/>
      <c r="AQ34" s="24"/>
      <c r="BE34" s="164"/>
    </row>
    <row r="35" spans="2:43" s="6" customFormat="1" ht="15" customHeight="1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4"/>
    </row>
    <row r="36" spans="2:43" s="2" customFormat="1" ht="14.25" customHeight="1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2"/>
    </row>
    <row r="37" spans="2:43" s="2" customFormat="1" ht="14.2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2"/>
    </row>
    <row r="38" spans="2:43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2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2"/>
      <c r="C49" s="23"/>
      <c r="D49" s="36" t="s">
        <v>47</v>
      </c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8"/>
      <c r="AA49" s="23"/>
      <c r="AB49" s="23"/>
      <c r="AC49" s="36" t="s">
        <v>48</v>
      </c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  <c r="AP49" s="23"/>
      <c r="AQ49" s="24"/>
    </row>
    <row r="50" spans="2:43" s="2" customFormat="1" ht="14.25" customHeight="1">
      <c r="B50" s="10"/>
      <c r="C50" s="11"/>
      <c r="D50" s="3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0"/>
      <c r="AA50" s="11"/>
      <c r="AB50" s="11"/>
      <c r="AC50" s="39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0"/>
      <c r="AP50" s="11"/>
      <c r="AQ50" s="12"/>
    </row>
    <row r="51" spans="2:43" s="2" customFormat="1" ht="14.25" customHeight="1">
      <c r="B51" s="10"/>
      <c r="C51" s="11"/>
      <c r="D51" s="3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0"/>
      <c r="AA51" s="11"/>
      <c r="AB51" s="11"/>
      <c r="AC51" s="39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0"/>
      <c r="AP51" s="11"/>
      <c r="AQ51" s="12"/>
    </row>
    <row r="52" spans="2:43" s="2" customFormat="1" ht="14.25" customHeight="1">
      <c r="B52" s="10"/>
      <c r="C52" s="11"/>
      <c r="D52" s="3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0"/>
      <c r="AA52" s="11"/>
      <c r="AB52" s="11"/>
      <c r="AC52" s="39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0"/>
      <c r="AP52" s="11"/>
      <c r="AQ52" s="12"/>
    </row>
    <row r="53" spans="2:43" s="2" customFormat="1" ht="14.25" customHeight="1">
      <c r="B53" s="10"/>
      <c r="C53" s="11"/>
      <c r="D53" s="3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0"/>
      <c r="AA53" s="11"/>
      <c r="AB53" s="11"/>
      <c r="AC53" s="39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0"/>
      <c r="AP53" s="11"/>
      <c r="AQ53" s="12"/>
    </row>
    <row r="54" spans="2:43" s="2" customFormat="1" ht="14.25" customHeight="1">
      <c r="B54" s="10"/>
      <c r="C54" s="11"/>
      <c r="D54" s="3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0"/>
      <c r="AA54" s="11"/>
      <c r="AB54" s="11"/>
      <c r="AC54" s="39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0"/>
      <c r="AP54" s="11"/>
      <c r="AQ54" s="12"/>
    </row>
    <row r="55" spans="2:43" s="2" customFormat="1" ht="14.25" customHeight="1">
      <c r="B55" s="10"/>
      <c r="C55" s="11"/>
      <c r="D55" s="3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0"/>
      <c r="AA55" s="11"/>
      <c r="AB55" s="11"/>
      <c r="AC55" s="39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0"/>
      <c r="AP55" s="11"/>
      <c r="AQ55" s="12"/>
    </row>
    <row r="56" spans="2:43" s="2" customFormat="1" ht="14.25" customHeight="1">
      <c r="B56" s="10"/>
      <c r="C56" s="11"/>
      <c r="D56" s="3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0"/>
      <c r="AA56" s="11"/>
      <c r="AB56" s="11"/>
      <c r="AC56" s="39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0"/>
      <c r="AP56" s="11"/>
      <c r="AQ56" s="12"/>
    </row>
    <row r="57" spans="2:43" s="2" customFormat="1" ht="14.25" customHeight="1">
      <c r="B57" s="10"/>
      <c r="C57" s="11"/>
      <c r="D57" s="3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0"/>
      <c r="AA57" s="11"/>
      <c r="AB57" s="11"/>
      <c r="AC57" s="39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0"/>
      <c r="AP57" s="11"/>
      <c r="AQ57" s="12"/>
    </row>
    <row r="58" spans="2:43" s="6" customFormat="1" ht="15.75" customHeight="1">
      <c r="B58" s="22"/>
      <c r="C58" s="23"/>
      <c r="D58" s="41" t="s">
        <v>49</v>
      </c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3" t="s">
        <v>50</v>
      </c>
      <c r="S58" s="42"/>
      <c r="T58" s="42"/>
      <c r="U58" s="42"/>
      <c r="V58" s="42"/>
      <c r="W58" s="42"/>
      <c r="X58" s="42"/>
      <c r="Y58" s="42"/>
      <c r="Z58" s="44"/>
      <c r="AA58" s="23"/>
      <c r="AB58" s="23"/>
      <c r="AC58" s="41" t="s">
        <v>49</v>
      </c>
      <c r="AD58" s="42"/>
      <c r="AE58" s="42"/>
      <c r="AF58" s="42"/>
      <c r="AG58" s="42"/>
      <c r="AH58" s="42"/>
      <c r="AI58" s="42"/>
      <c r="AJ58" s="42"/>
      <c r="AK58" s="42"/>
      <c r="AL58" s="42"/>
      <c r="AM58" s="43" t="s">
        <v>50</v>
      </c>
      <c r="AN58" s="42"/>
      <c r="AO58" s="44"/>
      <c r="AP58" s="23"/>
      <c r="AQ58" s="24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2"/>
      <c r="C60" s="23"/>
      <c r="D60" s="36" t="s">
        <v>51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8"/>
      <c r="AA60" s="23"/>
      <c r="AB60" s="23"/>
      <c r="AC60" s="36" t="s">
        <v>52</v>
      </c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8"/>
      <c r="AP60" s="23"/>
      <c r="AQ60" s="24"/>
    </row>
    <row r="61" spans="2:43" s="2" customFormat="1" ht="14.25" customHeight="1">
      <c r="B61" s="10"/>
      <c r="C61" s="11"/>
      <c r="D61" s="3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0"/>
      <c r="AA61" s="11"/>
      <c r="AB61" s="11"/>
      <c r="AC61" s="39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0"/>
      <c r="AP61" s="11"/>
      <c r="AQ61" s="12"/>
    </row>
    <row r="62" spans="2:43" s="2" customFormat="1" ht="14.25" customHeight="1">
      <c r="B62" s="10"/>
      <c r="C62" s="11"/>
      <c r="D62" s="3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0"/>
      <c r="AA62" s="11"/>
      <c r="AB62" s="11"/>
      <c r="AC62" s="39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0"/>
      <c r="AP62" s="11"/>
      <c r="AQ62" s="12"/>
    </row>
    <row r="63" spans="2:43" s="2" customFormat="1" ht="14.25" customHeight="1">
      <c r="B63" s="10"/>
      <c r="C63" s="11"/>
      <c r="D63" s="3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0"/>
      <c r="AA63" s="11"/>
      <c r="AB63" s="11"/>
      <c r="AC63" s="39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0"/>
      <c r="AP63" s="11"/>
      <c r="AQ63" s="12"/>
    </row>
    <row r="64" spans="2:43" s="2" customFormat="1" ht="14.25" customHeight="1">
      <c r="B64" s="10"/>
      <c r="C64" s="11"/>
      <c r="D64" s="3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0"/>
      <c r="AA64" s="11"/>
      <c r="AB64" s="11"/>
      <c r="AC64" s="39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0"/>
      <c r="AP64" s="11"/>
      <c r="AQ64" s="12"/>
    </row>
    <row r="65" spans="2:43" s="2" customFormat="1" ht="14.25" customHeight="1">
      <c r="B65" s="10"/>
      <c r="C65" s="11"/>
      <c r="D65" s="3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0"/>
      <c r="AA65" s="11"/>
      <c r="AB65" s="11"/>
      <c r="AC65" s="39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0"/>
      <c r="AP65" s="11"/>
      <c r="AQ65" s="12"/>
    </row>
    <row r="66" spans="2:43" s="2" customFormat="1" ht="14.25" customHeight="1">
      <c r="B66" s="10"/>
      <c r="C66" s="11"/>
      <c r="D66" s="39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0"/>
      <c r="AA66" s="11"/>
      <c r="AB66" s="11"/>
      <c r="AC66" s="39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0"/>
      <c r="AP66" s="11"/>
      <c r="AQ66" s="12"/>
    </row>
    <row r="67" spans="2:43" s="2" customFormat="1" ht="14.25" customHeight="1">
      <c r="B67" s="10"/>
      <c r="C67" s="11"/>
      <c r="D67" s="39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0"/>
      <c r="AA67" s="11"/>
      <c r="AB67" s="11"/>
      <c r="AC67" s="39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0"/>
      <c r="AP67" s="11"/>
      <c r="AQ67" s="12"/>
    </row>
    <row r="68" spans="2:43" s="2" customFormat="1" ht="14.25" customHeight="1">
      <c r="B68" s="10"/>
      <c r="C68" s="11"/>
      <c r="D68" s="39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0"/>
      <c r="AA68" s="11"/>
      <c r="AB68" s="11"/>
      <c r="AC68" s="39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0"/>
      <c r="AP68" s="11"/>
      <c r="AQ68" s="12"/>
    </row>
    <row r="69" spans="2:43" s="6" customFormat="1" ht="15.75" customHeight="1">
      <c r="B69" s="22"/>
      <c r="C69" s="23"/>
      <c r="D69" s="41" t="s">
        <v>49</v>
      </c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3" t="s">
        <v>50</v>
      </c>
      <c r="S69" s="42"/>
      <c r="T69" s="42"/>
      <c r="U69" s="42"/>
      <c r="V69" s="42"/>
      <c r="W69" s="42"/>
      <c r="X69" s="42"/>
      <c r="Y69" s="42"/>
      <c r="Z69" s="44"/>
      <c r="AA69" s="23"/>
      <c r="AB69" s="23"/>
      <c r="AC69" s="41" t="s">
        <v>49</v>
      </c>
      <c r="AD69" s="42"/>
      <c r="AE69" s="42"/>
      <c r="AF69" s="42"/>
      <c r="AG69" s="42"/>
      <c r="AH69" s="42"/>
      <c r="AI69" s="42"/>
      <c r="AJ69" s="42"/>
      <c r="AK69" s="42"/>
      <c r="AL69" s="42"/>
      <c r="AM69" s="43" t="s">
        <v>50</v>
      </c>
      <c r="AN69" s="42"/>
      <c r="AO69" s="44"/>
      <c r="AP69" s="23"/>
      <c r="AQ69" s="24"/>
    </row>
    <row r="70" spans="2:43" s="6" customFormat="1" ht="7.5" customHeight="1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4"/>
    </row>
    <row r="71" spans="2:43" s="6" customFormat="1" ht="7.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  <c r="AM71" s="46"/>
      <c r="AN71" s="46"/>
      <c r="AO71" s="46"/>
      <c r="AP71" s="46"/>
      <c r="AQ71" s="47"/>
    </row>
    <row r="75" spans="2:43" s="6" customFormat="1" ht="7.5" customHeight="1">
      <c r="B75" s="48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50"/>
    </row>
    <row r="76" spans="2:43" s="6" customFormat="1" ht="37.5" customHeight="1">
      <c r="B76" s="22"/>
      <c r="C76" s="161" t="s">
        <v>53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24"/>
    </row>
    <row r="77" spans="2:43" s="6" customFormat="1" ht="7.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4"/>
    </row>
    <row r="78" spans="2:43" s="51" customFormat="1" ht="27" customHeight="1">
      <c r="B78" s="52"/>
      <c r="C78" s="15" t="s">
        <v>14</v>
      </c>
      <c r="D78" s="15"/>
      <c r="E78" s="15"/>
      <c r="F78" s="15"/>
      <c r="G78" s="15"/>
      <c r="H78" s="15"/>
      <c r="I78" s="15"/>
      <c r="J78" s="15"/>
      <c r="K78" s="15"/>
      <c r="L78" s="166" t="str">
        <f>$K$6</f>
        <v>sku6 - Oprava fasády domu a částečná výměna oken Tavičská 34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/>
      <c r="AH78" s="166"/>
      <c r="AI78" s="166"/>
      <c r="AJ78" s="166"/>
      <c r="AK78" s="166"/>
      <c r="AL78" s="166"/>
      <c r="AM78" s="166"/>
      <c r="AN78" s="166"/>
      <c r="AO78" s="166"/>
      <c r="AP78" s="15"/>
      <c r="AQ78" s="53"/>
    </row>
    <row r="79" spans="2:43" s="6" customFormat="1" ht="7.5" customHeight="1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4"/>
    </row>
    <row r="80" spans="2:43" s="6" customFormat="1" ht="15.75" customHeight="1">
      <c r="B80" s="22"/>
      <c r="C80" s="16" t="s">
        <v>18</v>
      </c>
      <c r="D80" s="23"/>
      <c r="E80" s="23"/>
      <c r="F80" s="23"/>
      <c r="G80" s="23"/>
      <c r="H80" s="23"/>
      <c r="I80" s="23"/>
      <c r="J80" s="23"/>
      <c r="K80" s="23"/>
      <c r="L80" s="54" t="str">
        <f>IF($K$8="","",$K$8)</f>
        <v>Ostrava</v>
      </c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16" t="s">
        <v>20</v>
      </c>
      <c r="AJ80" s="23"/>
      <c r="AK80" s="23"/>
      <c r="AL80" s="23"/>
      <c r="AM80" s="55" t="str">
        <f>IF($AN$8="","",$AN$8)</f>
        <v>21.08.2012</v>
      </c>
      <c r="AN80" s="23"/>
      <c r="AO80" s="23"/>
      <c r="AP80" s="23"/>
      <c r="AQ80" s="24"/>
    </row>
    <row r="81" spans="2:43" s="6" customFormat="1" ht="7.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4"/>
    </row>
    <row r="82" spans="2:56" s="6" customFormat="1" ht="18.75" customHeight="1">
      <c r="B82" s="22"/>
      <c r="C82" s="16" t="s">
        <v>24</v>
      </c>
      <c r="D82" s="23"/>
      <c r="E82" s="23"/>
      <c r="F82" s="23"/>
      <c r="G82" s="23"/>
      <c r="H82" s="23"/>
      <c r="I82" s="23"/>
      <c r="J82" s="23"/>
      <c r="K82" s="23"/>
      <c r="L82" s="17" t="str">
        <f>IF($E$11="","",$E$11)</f>
        <v>SMO Městský obvod Vítkovice,Mírové náměstí 1</v>
      </c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16" t="s">
        <v>30</v>
      </c>
      <c r="AJ82" s="23"/>
      <c r="AK82" s="23"/>
      <c r="AL82" s="23"/>
      <c r="AM82" s="179" t="str">
        <f>IF($E$17="","",$E$17)</f>
        <v>VS PROJEKT s.r.o.,Na Obvodu 45,703 00 Ostrava</v>
      </c>
      <c r="AN82" s="178"/>
      <c r="AO82" s="178"/>
      <c r="AP82" s="178"/>
      <c r="AQ82" s="24"/>
      <c r="AS82" s="180" t="s">
        <v>54</v>
      </c>
      <c r="AT82" s="181"/>
      <c r="AU82" s="56"/>
      <c r="AV82" s="56"/>
      <c r="AW82" s="56"/>
      <c r="AX82" s="56"/>
      <c r="AY82" s="56"/>
      <c r="AZ82" s="56"/>
      <c r="BA82" s="56"/>
      <c r="BB82" s="56"/>
      <c r="BC82" s="56"/>
      <c r="BD82" s="57"/>
    </row>
    <row r="83" spans="2:56" s="6" customFormat="1" ht="15.75" customHeight="1">
      <c r="B83" s="22"/>
      <c r="C83" s="16" t="s">
        <v>28</v>
      </c>
      <c r="D83" s="23"/>
      <c r="E83" s="23"/>
      <c r="F83" s="23"/>
      <c r="G83" s="23"/>
      <c r="H83" s="23"/>
      <c r="I83" s="23"/>
      <c r="J83" s="23"/>
      <c r="K83" s="23"/>
      <c r="L83" s="17">
        <f>IF($E$14="Vyplň údaj","",$E$14)</f>
      </c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16" t="s">
        <v>32</v>
      </c>
      <c r="AJ83" s="23"/>
      <c r="AK83" s="23"/>
      <c r="AL83" s="23"/>
      <c r="AM83" s="179" t="str">
        <f>IF($E$20="","",$E$20)</f>
        <v>Beránek</v>
      </c>
      <c r="AN83" s="178"/>
      <c r="AO83" s="178"/>
      <c r="AP83" s="178"/>
      <c r="AQ83" s="24"/>
      <c r="AS83" s="182"/>
      <c r="AT83" s="164"/>
      <c r="BD83" s="58"/>
    </row>
    <row r="84" spans="2:56" s="6" customFormat="1" ht="12" customHeight="1"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4"/>
      <c r="AS84" s="183"/>
      <c r="AT84" s="178"/>
      <c r="AU84" s="23"/>
      <c r="AV84" s="23"/>
      <c r="AW84" s="23"/>
      <c r="AX84" s="23"/>
      <c r="AY84" s="23"/>
      <c r="AZ84" s="23"/>
      <c r="BA84" s="23"/>
      <c r="BB84" s="23"/>
      <c r="BC84" s="23"/>
      <c r="BD84" s="59"/>
    </row>
    <row r="85" spans="2:57" s="6" customFormat="1" ht="30" customHeight="1">
      <c r="B85" s="22"/>
      <c r="C85" s="184" t="s">
        <v>55</v>
      </c>
      <c r="D85" s="175"/>
      <c r="E85" s="175"/>
      <c r="F85" s="175"/>
      <c r="G85" s="175"/>
      <c r="H85" s="34"/>
      <c r="I85" s="185" t="s">
        <v>56</v>
      </c>
      <c r="J85" s="175"/>
      <c r="K85" s="175"/>
      <c r="L85" s="175"/>
      <c r="M85" s="175"/>
      <c r="N85" s="175"/>
      <c r="O85" s="175"/>
      <c r="P85" s="175"/>
      <c r="Q85" s="175"/>
      <c r="R85" s="175"/>
      <c r="S85" s="175"/>
      <c r="T85" s="175"/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  <c r="AF85" s="175"/>
      <c r="AG85" s="185" t="s">
        <v>57</v>
      </c>
      <c r="AH85" s="175"/>
      <c r="AI85" s="175"/>
      <c r="AJ85" s="175"/>
      <c r="AK85" s="175"/>
      <c r="AL85" s="175"/>
      <c r="AM85" s="175"/>
      <c r="AN85" s="185" t="s">
        <v>58</v>
      </c>
      <c r="AO85" s="175"/>
      <c r="AP85" s="177"/>
      <c r="AQ85" s="24"/>
      <c r="AS85" s="60" t="s">
        <v>59</v>
      </c>
      <c r="AT85" s="61" t="s">
        <v>60</v>
      </c>
      <c r="AU85" s="61" t="s">
        <v>61</v>
      </c>
      <c r="AV85" s="61" t="s">
        <v>62</v>
      </c>
      <c r="AW85" s="61" t="s">
        <v>63</v>
      </c>
      <c r="AX85" s="61" t="s">
        <v>64</v>
      </c>
      <c r="AY85" s="61" t="s">
        <v>65</v>
      </c>
      <c r="AZ85" s="61" t="s">
        <v>66</v>
      </c>
      <c r="BA85" s="61" t="s">
        <v>67</v>
      </c>
      <c r="BB85" s="61" t="s">
        <v>68</v>
      </c>
      <c r="BC85" s="61" t="s">
        <v>69</v>
      </c>
      <c r="BD85" s="62" t="s">
        <v>70</v>
      </c>
      <c r="BE85" s="63"/>
    </row>
    <row r="86" spans="2:56" s="6" customFormat="1" ht="12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4"/>
      <c r="AS86" s="64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8"/>
    </row>
    <row r="87" spans="2:76" s="51" customFormat="1" ht="33" customHeight="1">
      <c r="B87" s="52"/>
      <c r="C87" s="65" t="s">
        <v>71</v>
      </c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196">
        <f>ROUNDUP($AG$88,2)</f>
        <v>0</v>
      </c>
      <c r="AH87" s="197"/>
      <c r="AI87" s="197"/>
      <c r="AJ87" s="197"/>
      <c r="AK87" s="197"/>
      <c r="AL87" s="197"/>
      <c r="AM87" s="197"/>
      <c r="AN87" s="196">
        <f>ROUNDUP(SUM($AG$87,$AT$87),2)</f>
        <v>0</v>
      </c>
      <c r="AO87" s="197"/>
      <c r="AP87" s="197"/>
      <c r="AQ87" s="53"/>
      <c r="AS87" s="66">
        <f>ROUNDUP($AS$88,2)</f>
        <v>0</v>
      </c>
      <c r="AT87" s="67">
        <f>ROUNDUP(SUM($AV$87:$AY$87),1)</f>
        <v>0</v>
      </c>
      <c r="AU87" s="68">
        <f>ROUNDUP($AU$88,5)</f>
        <v>4550.27812</v>
      </c>
      <c r="AV87" s="67">
        <f>ROUNDUP($AZ$87*$L$28,2)</f>
        <v>0</v>
      </c>
      <c r="AW87" s="67">
        <f>ROUNDUP($BA$87*$L$29,2)</f>
        <v>0</v>
      </c>
      <c r="AX87" s="67">
        <f>ROUNDUP($BB$87*$L$28,2)</f>
        <v>0</v>
      </c>
      <c r="AY87" s="67">
        <f>ROUNDUP($BC$87*$L$29,2)</f>
        <v>0</v>
      </c>
      <c r="AZ87" s="67">
        <f>ROUNDUP($AZ$88,2)</f>
        <v>0</v>
      </c>
      <c r="BA87" s="67">
        <f>ROUNDUP($BA$88,2)</f>
        <v>0</v>
      </c>
      <c r="BB87" s="67">
        <f>ROUNDUP($BB$88,2)</f>
        <v>0</v>
      </c>
      <c r="BC87" s="67">
        <f>ROUNDUP($BC$88,2)</f>
        <v>0</v>
      </c>
      <c r="BD87" s="69">
        <f>ROUNDUP($BD$88,2)</f>
        <v>0</v>
      </c>
      <c r="BS87" s="51" t="s">
        <v>72</v>
      </c>
      <c r="BT87" s="51" t="s">
        <v>73</v>
      </c>
      <c r="BV87" s="51" t="s">
        <v>74</v>
      </c>
      <c r="BW87" s="51" t="s">
        <v>75</v>
      </c>
      <c r="BX87" s="51" t="s">
        <v>76</v>
      </c>
    </row>
    <row r="88" spans="1:76" s="70" customFormat="1" ht="28.5" customHeight="1">
      <c r="A88" s="140" t="s">
        <v>759</v>
      </c>
      <c r="B88" s="71"/>
      <c r="C88" s="72"/>
      <c r="D88" s="188" t="s">
        <v>77</v>
      </c>
      <c r="E88" s="189"/>
      <c r="F88" s="189"/>
      <c r="G88" s="189"/>
      <c r="H88" s="189"/>
      <c r="I88" s="72"/>
      <c r="J88" s="188" t="s">
        <v>78</v>
      </c>
      <c r="K88" s="189"/>
      <c r="L88" s="189"/>
      <c r="M88" s="189"/>
      <c r="N88" s="189"/>
      <c r="O88" s="189"/>
      <c r="P88" s="189"/>
      <c r="Q88" s="189"/>
      <c r="R88" s="189"/>
      <c r="S88" s="189"/>
      <c r="T88" s="189"/>
      <c r="U88" s="189"/>
      <c r="V88" s="189"/>
      <c r="W88" s="189"/>
      <c r="X88" s="189"/>
      <c r="Y88" s="189"/>
      <c r="Z88" s="189"/>
      <c r="AA88" s="189"/>
      <c r="AB88" s="189"/>
      <c r="AC88" s="189"/>
      <c r="AD88" s="189"/>
      <c r="AE88" s="189"/>
      <c r="AF88" s="189"/>
      <c r="AG88" s="186">
        <f>'sku6 - Oprava fasády domu...'!$M$26</f>
        <v>0</v>
      </c>
      <c r="AH88" s="187"/>
      <c r="AI88" s="187"/>
      <c r="AJ88" s="187"/>
      <c r="AK88" s="187"/>
      <c r="AL88" s="187"/>
      <c r="AM88" s="187"/>
      <c r="AN88" s="186">
        <f>ROUNDUP(SUM($AG$88,$AT$88),2)</f>
        <v>0</v>
      </c>
      <c r="AO88" s="187"/>
      <c r="AP88" s="187"/>
      <c r="AQ88" s="73"/>
      <c r="AS88" s="74">
        <f>'sku6 - Oprava fasády domu...'!$M$24</f>
        <v>0</v>
      </c>
      <c r="AT88" s="75">
        <f>ROUNDUP(SUM($AV$88:$AY$88),1)</f>
        <v>0</v>
      </c>
      <c r="AU88" s="76">
        <f>'sku6 - Oprava fasády domu...'!$W$134</f>
        <v>4550.278114</v>
      </c>
      <c r="AV88" s="75">
        <f>'sku6 - Oprava fasády domu...'!$M$28</f>
        <v>0</v>
      </c>
      <c r="AW88" s="75">
        <f>'sku6 - Oprava fasády domu...'!$M$29</f>
        <v>0</v>
      </c>
      <c r="AX88" s="75">
        <f>'sku6 - Oprava fasády domu...'!$M$30</f>
        <v>0</v>
      </c>
      <c r="AY88" s="75">
        <f>'sku6 - Oprava fasády domu...'!$M$31</f>
        <v>0</v>
      </c>
      <c r="AZ88" s="75">
        <f>'sku6 - Oprava fasády domu...'!$H$28</f>
        <v>0</v>
      </c>
      <c r="BA88" s="75">
        <f>'sku6 - Oprava fasády domu...'!$H$29</f>
        <v>0</v>
      </c>
      <c r="BB88" s="75">
        <f>'sku6 - Oprava fasády domu...'!$H$30</f>
        <v>0</v>
      </c>
      <c r="BC88" s="75">
        <f>'sku6 - Oprava fasády domu...'!$H$31</f>
        <v>0</v>
      </c>
      <c r="BD88" s="77">
        <f>'sku6 - Oprava fasády domu...'!$H$32</f>
        <v>0</v>
      </c>
      <c r="BT88" s="70" t="s">
        <v>17</v>
      </c>
      <c r="BU88" s="70" t="s">
        <v>79</v>
      </c>
      <c r="BV88" s="70" t="s">
        <v>74</v>
      </c>
      <c r="BW88" s="70" t="s">
        <v>75</v>
      </c>
      <c r="BX88" s="70" t="s">
        <v>76</v>
      </c>
    </row>
    <row r="89" spans="2:43" s="2" customFormat="1" ht="14.25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</row>
    <row r="90" spans="2:49" s="6" customFormat="1" ht="30.75" customHeight="1">
      <c r="B90" s="22"/>
      <c r="C90" s="65" t="s">
        <v>80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196">
        <f>ROUNDUP(SUM($AG$91:$AG$103),2)</f>
        <v>0</v>
      </c>
      <c r="AH90" s="178"/>
      <c r="AI90" s="178"/>
      <c r="AJ90" s="178"/>
      <c r="AK90" s="178"/>
      <c r="AL90" s="178"/>
      <c r="AM90" s="178"/>
      <c r="AN90" s="196">
        <f>ROUNDUP(SUM($AN$91:$AN$103),2)</f>
        <v>0</v>
      </c>
      <c r="AO90" s="178"/>
      <c r="AP90" s="178"/>
      <c r="AQ90" s="24"/>
      <c r="AS90" s="60" t="s">
        <v>81</v>
      </c>
      <c r="AT90" s="61" t="s">
        <v>82</v>
      </c>
      <c r="AU90" s="61" t="s">
        <v>37</v>
      </c>
      <c r="AV90" s="62" t="s">
        <v>60</v>
      </c>
      <c r="AW90" s="63"/>
    </row>
    <row r="91" spans="2:89" s="6" customFormat="1" ht="21" customHeight="1">
      <c r="B91" s="22"/>
      <c r="C91" s="23"/>
      <c r="D91" s="78" t="s">
        <v>83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190">
        <f>ROUNDUP($AG$87*$AS$91,2)</f>
        <v>0</v>
      </c>
      <c r="AH91" s="178"/>
      <c r="AI91" s="178"/>
      <c r="AJ91" s="178"/>
      <c r="AK91" s="178"/>
      <c r="AL91" s="178"/>
      <c r="AM91" s="178"/>
      <c r="AN91" s="191">
        <f>ROUNDUP($AG$91+$AV$91,2)</f>
        <v>0</v>
      </c>
      <c r="AO91" s="178"/>
      <c r="AP91" s="178"/>
      <c r="AQ91" s="24"/>
      <c r="AS91" s="79">
        <v>0</v>
      </c>
      <c r="AT91" s="80" t="s">
        <v>84</v>
      </c>
      <c r="AU91" s="80" t="s">
        <v>38</v>
      </c>
      <c r="AV91" s="81">
        <f>ROUNDUP(IF($AU$91="základní",$AG$91*$L$28,IF($AU$91="snížená",$AG$91*$L$29,0)),2)</f>
        <v>0</v>
      </c>
      <c r="BV91" s="6" t="s">
        <v>85</v>
      </c>
      <c r="BY91" s="82">
        <f>IF($AU$91="základní",$AV$91,0)</f>
        <v>0</v>
      </c>
      <c r="BZ91" s="82">
        <f>IF($AU$91="snížená",$AV$91,0)</f>
        <v>0</v>
      </c>
      <c r="CA91" s="82">
        <v>0</v>
      </c>
      <c r="CB91" s="82">
        <v>0</v>
      </c>
      <c r="CC91" s="82">
        <v>0</v>
      </c>
      <c r="CD91" s="82">
        <f>IF($AU$91="základní",$AG$91,0)</f>
        <v>0</v>
      </c>
      <c r="CE91" s="82">
        <f>IF($AU$91="snížená",$AG$91,0)</f>
        <v>0</v>
      </c>
      <c r="CF91" s="82">
        <f>IF($AU$91="zákl. přenesena",$AG$91,0)</f>
        <v>0</v>
      </c>
      <c r="CG91" s="82">
        <f>IF($AU$91="sníž. přenesena",$AG$91,0)</f>
        <v>0</v>
      </c>
      <c r="CH91" s="82">
        <f>IF($AU$91="nulová",$AG$91,0)</f>
        <v>0</v>
      </c>
      <c r="CI91" s="6">
        <f>IF($AU$91="základní",1,IF($AU$91="snížená",2,IF($AU$91="zákl. přenesena",4,IF($AU$91="sníž. přenesena",5,3))))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2"/>
      <c r="C92" s="23"/>
      <c r="D92" s="78" t="s">
        <v>86</v>
      </c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190">
        <f>ROUNDUP($AG$87*$AS$92,2)</f>
        <v>0</v>
      </c>
      <c r="AH92" s="178"/>
      <c r="AI92" s="178"/>
      <c r="AJ92" s="178"/>
      <c r="AK92" s="178"/>
      <c r="AL92" s="178"/>
      <c r="AM92" s="178"/>
      <c r="AN92" s="191">
        <f>ROUNDUP($AG$92+$AV$92,2)</f>
        <v>0</v>
      </c>
      <c r="AO92" s="178"/>
      <c r="AP92" s="178"/>
      <c r="AQ92" s="24"/>
      <c r="AS92" s="83">
        <v>0</v>
      </c>
      <c r="AT92" s="84" t="s">
        <v>84</v>
      </c>
      <c r="AU92" s="84" t="s">
        <v>38</v>
      </c>
      <c r="AV92" s="85">
        <f>ROUNDUP(IF($AU$92="základní",$AG$92*$L$28,IF($AU$92="snížená",$AG$92*$L$29,0)),2)</f>
        <v>0</v>
      </c>
      <c r="BV92" s="6" t="s">
        <v>85</v>
      </c>
      <c r="BY92" s="82">
        <f>IF($AU$92="základní",$AV$92,0)</f>
        <v>0</v>
      </c>
      <c r="BZ92" s="82">
        <f>IF($AU$92="snížená",$AV$92,0)</f>
        <v>0</v>
      </c>
      <c r="CA92" s="82">
        <v>0</v>
      </c>
      <c r="CB92" s="82">
        <v>0</v>
      </c>
      <c r="CC92" s="82">
        <v>0</v>
      </c>
      <c r="CD92" s="82">
        <f>IF($AU$92="základní",$AG$92,0)</f>
        <v>0</v>
      </c>
      <c r="CE92" s="82">
        <f>IF($AU$92="snížená",$AG$92,0)</f>
        <v>0</v>
      </c>
      <c r="CF92" s="82">
        <f>IF($AU$92="zákl. přenesena",$AG$92,0)</f>
        <v>0</v>
      </c>
      <c r="CG92" s="82">
        <f>IF($AU$92="sníž. přenesena",$AG$92,0)</f>
        <v>0</v>
      </c>
      <c r="CH92" s="82">
        <f>IF($AU$92="nulová",$AG$92,0)</f>
        <v>0</v>
      </c>
      <c r="CI92" s="6">
        <f>IF($AU$92="základní",1,IF($AU$92="snížená",2,IF($AU$92="zákl. přenesena",4,IF($AU$92="sníž. přenesena",5,3))))</f>
        <v>1</v>
      </c>
      <c r="CJ92" s="6">
        <f>IF($AT$92="stavební čast",1,IF(8892="investiční čast",2,3))</f>
        <v>1</v>
      </c>
      <c r="CK92" s="6" t="str">
        <f>IF($D$92="Vyplň vlastní","","x")</f>
        <v>x</v>
      </c>
    </row>
    <row r="93" spans="2:89" s="6" customFormat="1" ht="21" customHeight="1">
      <c r="B93" s="22"/>
      <c r="C93" s="23"/>
      <c r="D93" s="78" t="s">
        <v>87</v>
      </c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190">
        <f>ROUNDUP($AG$87*$AS$93,2)</f>
        <v>0</v>
      </c>
      <c r="AH93" s="178"/>
      <c r="AI93" s="178"/>
      <c r="AJ93" s="178"/>
      <c r="AK93" s="178"/>
      <c r="AL93" s="178"/>
      <c r="AM93" s="178"/>
      <c r="AN93" s="191">
        <f>ROUNDUP($AG$93+$AV$93,2)</f>
        <v>0</v>
      </c>
      <c r="AO93" s="178"/>
      <c r="AP93" s="178"/>
      <c r="AQ93" s="24"/>
      <c r="AS93" s="83">
        <v>0</v>
      </c>
      <c r="AT93" s="84" t="s">
        <v>84</v>
      </c>
      <c r="AU93" s="84" t="s">
        <v>38</v>
      </c>
      <c r="AV93" s="85">
        <f>ROUNDUP(IF($AU$93="základní",$AG$93*$L$28,IF($AU$93="snížená",$AG$93*$L$29,0)),2)</f>
        <v>0</v>
      </c>
      <c r="BV93" s="6" t="s">
        <v>85</v>
      </c>
      <c r="BY93" s="82">
        <f>IF($AU$93="základní",$AV$93,0)</f>
        <v>0</v>
      </c>
      <c r="BZ93" s="82">
        <f>IF($AU$93="snížená",$AV$93,0)</f>
        <v>0</v>
      </c>
      <c r="CA93" s="82">
        <v>0</v>
      </c>
      <c r="CB93" s="82">
        <v>0</v>
      </c>
      <c r="CC93" s="82">
        <v>0</v>
      </c>
      <c r="CD93" s="82">
        <f>IF($AU$93="základní",$AG$93,0)</f>
        <v>0</v>
      </c>
      <c r="CE93" s="82">
        <f>IF($AU$93="snížená",$AG$93,0)</f>
        <v>0</v>
      </c>
      <c r="CF93" s="82">
        <f>IF($AU$93="zákl. přenesena",$AG$93,0)</f>
        <v>0</v>
      </c>
      <c r="CG93" s="82">
        <f>IF($AU$93="sníž. přenesena",$AG$93,0)</f>
        <v>0</v>
      </c>
      <c r="CH93" s="82">
        <f>IF($AU$93="nulová",$AG$93,0)</f>
        <v>0</v>
      </c>
      <c r="CI93" s="6">
        <f>IF($AU$93="základní",1,IF($AU$93="snížená",2,IF($AU$93="zákl. přenesena",4,IF($AU$93="sníž. přenesena",5,3))))</f>
        <v>1</v>
      </c>
      <c r="CJ93" s="6">
        <f>IF($AT$93="stavební čast",1,IF(8893="investiční čast",2,3))</f>
        <v>1</v>
      </c>
      <c r="CK93" s="6" t="str">
        <f>IF($D$93="Vyplň vlastní","","x")</f>
        <v>x</v>
      </c>
    </row>
    <row r="94" spans="2:89" s="6" customFormat="1" ht="21" customHeight="1">
      <c r="B94" s="22"/>
      <c r="C94" s="23"/>
      <c r="D94" s="78" t="s">
        <v>88</v>
      </c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190">
        <f>ROUNDUP($AG$87*$AS$94,2)</f>
        <v>0</v>
      </c>
      <c r="AH94" s="178"/>
      <c r="AI94" s="178"/>
      <c r="AJ94" s="178"/>
      <c r="AK94" s="178"/>
      <c r="AL94" s="178"/>
      <c r="AM94" s="178"/>
      <c r="AN94" s="191">
        <f>ROUNDUP($AG$94+$AV$94,2)</f>
        <v>0</v>
      </c>
      <c r="AO94" s="178"/>
      <c r="AP94" s="178"/>
      <c r="AQ94" s="24"/>
      <c r="AS94" s="83">
        <v>0</v>
      </c>
      <c r="AT94" s="84" t="s">
        <v>84</v>
      </c>
      <c r="AU94" s="84" t="s">
        <v>38</v>
      </c>
      <c r="AV94" s="85">
        <f>ROUNDUP(IF($AU$94="základní",$AG$94*$L$28,IF($AU$94="snížená",$AG$94*$L$29,0)),2)</f>
        <v>0</v>
      </c>
      <c r="BV94" s="6" t="s">
        <v>85</v>
      </c>
      <c r="BY94" s="82">
        <f>IF($AU$94="základní",$AV$94,0)</f>
        <v>0</v>
      </c>
      <c r="BZ94" s="82">
        <f>IF($AU$94="snížená",$AV$94,0)</f>
        <v>0</v>
      </c>
      <c r="CA94" s="82">
        <v>0</v>
      </c>
      <c r="CB94" s="82">
        <v>0</v>
      </c>
      <c r="CC94" s="82">
        <v>0</v>
      </c>
      <c r="CD94" s="82">
        <f>IF($AU$94="základní",$AG$94,0)</f>
        <v>0</v>
      </c>
      <c r="CE94" s="82">
        <f>IF($AU$94="snížená",$AG$94,0)</f>
        <v>0</v>
      </c>
      <c r="CF94" s="82">
        <f>IF($AU$94="zákl. přenesena",$AG$94,0)</f>
        <v>0</v>
      </c>
      <c r="CG94" s="82">
        <f>IF($AU$94="sníž. přenesena",$AG$94,0)</f>
        <v>0</v>
      </c>
      <c r="CH94" s="82">
        <f>IF($AU$94="nulová",$AG$94,0)</f>
        <v>0</v>
      </c>
      <c r="CI94" s="6">
        <f>IF($AU$94="základní",1,IF($AU$94="snížená",2,IF($AU$94="zákl. přenesena",4,IF($AU$94="sníž. přenesena",5,3))))</f>
        <v>1</v>
      </c>
      <c r="CJ94" s="6">
        <f>IF($AT$94="stavební čast",1,IF(8894="investiční čast",2,3))</f>
        <v>1</v>
      </c>
      <c r="CK94" s="6" t="str">
        <f>IF($D$94="Vyplň vlastní","","x")</f>
        <v>x</v>
      </c>
    </row>
    <row r="95" spans="2:89" s="6" customFormat="1" ht="21" customHeight="1">
      <c r="B95" s="22"/>
      <c r="C95" s="23"/>
      <c r="D95" s="78" t="s">
        <v>89</v>
      </c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190">
        <f>ROUNDUP($AG$87*$AS$95,2)</f>
        <v>0</v>
      </c>
      <c r="AH95" s="178"/>
      <c r="AI95" s="178"/>
      <c r="AJ95" s="178"/>
      <c r="AK95" s="178"/>
      <c r="AL95" s="178"/>
      <c r="AM95" s="178"/>
      <c r="AN95" s="191">
        <f>ROUNDUP($AG$95+$AV$95,2)</f>
        <v>0</v>
      </c>
      <c r="AO95" s="178"/>
      <c r="AP95" s="178"/>
      <c r="AQ95" s="24"/>
      <c r="AS95" s="83">
        <v>0</v>
      </c>
      <c r="AT95" s="84" t="s">
        <v>84</v>
      </c>
      <c r="AU95" s="84" t="s">
        <v>38</v>
      </c>
      <c r="AV95" s="85">
        <f>ROUNDUP(IF($AU$95="základní",$AG$95*$L$28,IF($AU$95="snížená",$AG$95*$L$29,0)),2)</f>
        <v>0</v>
      </c>
      <c r="BV95" s="6" t="s">
        <v>85</v>
      </c>
      <c r="BY95" s="82">
        <f>IF($AU$95="základní",$AV$95,0)</f>
        <v>0</v>
      </c>
      <c r="BZ95" s="82">
        <f>IF($AU$95="snížená",$AV$95,0)</f>
        <v>0</v>
      </c>
      <c r="CA95" s="82">
        <v>0</v>
      </c>
      <c r="CB95" s="82">
        <v>0</v>
      </c>
      <c r="CC95" s="82">
        <v>0</v>
      </c>
      <c r="CD95" s="82">
        <f>IF($AU$95="základní",$AG$95,0)</f>
        <v>0</v>
      </c>
      <c r="CE95" s="82">
        <f>IF($AU$95="snížená",$AG$95,0)</f>
        <v>0</v>
      </c>
      <c r="CF95" s="82">
        <f>IF($AU$95="zákl. přenesena",$AG$95,0)</f>
        <v>0</v>
      </c>
      <c r="CG95" s="82">
        <f>IF($AU$95="sníž. přenesena",$AG$95,0)</f>
        <v>0</v>
      </c>
      <c r="CH95" s="82">
        <f>IF($AU$95="nulová",$AG$95,0)</f>
        <v>0</v>
      </c>
      <c r="CI95" s="6">
        <f>IF($AU$95="základní",1,IF($AU$95="snížená",2,IF($AU$95="zákl. přenesena",4,IF($AU$95="sníž. přenesena",5,3))))</f>
        <v>1</v>
      </c>
      <c r="CJ95" s="6">
        <f>IF($AT$95="stavební čast",1,IF(8895="investiční čast",2,3))</f>
        <v>1</v>
      </c>
      <c r="CK95" s="6" t="str">
        <f>IF($D$95="Vyplň vlastní","","x")</f>
        <v>x</v>
      </c>
    </row>
    <row r="96" spans="2:89" s="6" customFormat="1" ht="21" customHeight="1">
      <c r="B96" s="22"/>
      <c r="C96" s="23"/>
      <c r="D96" s="78" t="s">
        <v>90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190">
        <f>ROUNDUP($AG$87*$AS$96,2)</f>
        <v>0</v>
      </c>
      <c r="AH96" s="178"/>
      <c r="AI96" s="178"/>
      <c r="AJ96" s="178"/>
      <c r="AK96" s="178"/>
      <c r="AL96" s="178"/>
      <c r="AM96" s="178"/>
      <c r="AN96" s="191">
        <f>ROUNDUP($AG$96+$AV$96,2)</f>
        <v>0</v>
      </c>
      <c r="AO96" s="178"/>
      <c r="AP96" s="178"/>
      <c r="AQ96" s="24"/>
      <c r="AS96" s="83">
        <v>0</v>
      </c>
      <c r="AT96" s="84" t="s">
        <v>84</v>
      </c>
      <c r="AU96" s="84" t="s">
        <v>38</v>
      </c>
      <c r="AV96" s="85">
        <f>ROUNDUP(IF($AU$96="základní",$AG$96*$L$28,IF($AU$96="snížená",$AG$96*$L$29,0)),2)</f>
        <v>0</v>
      </c>
      <c r="BV96" s="6" t="s">
        <v>85</v>
      </c>
      <c r="BY96" s="82">
        <f>IF($AU$96="základní",$AV$96,0)</f>
        <v>0</v>
      </c>
      <c r="BZ96" s="82">
        <f>IF($AU$96="snížená",$AV$96,0)</f>
        <v>0</v>
      </c>
      <c r="CA96" s="82">
        <v>0</v>
      </c>
      <c r="CB96" s="82">
        <v>0</v>
      </c>
      <c r="CC96" s="82">
        <v>0</v>
      </c>
      <c r="CD96" s="82">
        <f>IF($AU$96="základní",$AG$96,0)</f>
        <v>0</v>
      </c>
      <c r="CE96" s="82">
        <f>IF($AU$96="snížená",$AG$96,0)</f>
        <v>0</v>
      </c>
      <c r="CF96" s="82">
        <f>IF($AU$96="zákl. přenesena",$AG$96,0)</f>
        <v>0</v>
      </c>
      <c r="CG96" s="82">
        <f>IF($AU$96="sníž. přenesena",$AG$96,0)</f>
        <v>0</v>
      </c>
      <c r="CH96" s="82">
        <f>IF($AU$96="nulová",$AG$96,0)</f>
        <v>0</v>
      </c>
      <c r="CI96" s="6">
        <f>IF($AU$96="základní",1,IF($AU$96="snížená",2,IF($AU$96="zákl. přenesena",4,IF($AU$96="sníž. přenesena",5,3))))</f>
        <v>1</v>
      </c>
      <c r="CJ96" s="6">
        <f>IF($AT$96="stavební čast",1,IF(8896="investiční čast",2,3))</f>
        <v>1</v>
      </c>
      <c r="CK96" s="6" t="str">
        <f>IF($D$96="Vyplň vlastní","","x")</f>
        <v>x</v>
      </c>
    </row>
    <row r="97" spans="2:89" s="6" customFormat="1" ht="21" customHeight="1">
      <c r="B97" s="22"/>
      <c r="C97" s="23"/>
      <c r="D97" s="78" t="s">
        <v>91</v>
      </c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190">
        <f>ROUNDUP($AG$87*$AS$97,2)</f>
        <v>0</v>
      </c>
      <c r="AH97" s="178"/>
      <c r="AI97" s="178"/>
      <c r="AJ97" s="178"/>
      <c r="AK97" s="178"/>
      <c r="AL97" s="178"/>
      <c r="AM97" s="178"/>
      <c r="AN97" s="191">
        <f>ROUNDUP($AG$97+$AV$97,2)</f>
        <v>0</v>
      </c>
      <c r="AO97" s="178"/>
      <c r="AP97" s="178"/>
      <c r="AQ97" s="24"/>
      <c r="AS97" s="83">
        <v>0</v>
      </c>
      <c r="AT97" s="84" t="s">
        <v>84</v>
      </c>
      <c r="AU97" s="84" t="s">
        <v>38</v>
      </c>
      <c r="AV97" s="85">
        <f>ROUNDUP(IF($AU$97="základní",$AG$97*$L$28,IF($AU$97="snížená",$AG$97*$L$29,0)),2)</f>
        <v>0</v>
      </c>
      <c r="BV97" s="6" t="s">
        <v>85</v>
      </c>
      <c r="BY97" s="82">
        <f>IF($AU$97="základní",$AV$97,0)</f>
        <v>0</v>
      </c>
      <c r="BZ97" s="82">
        <f>IF($AU$97="snížená",$AV$97,0)</f>
        <v>0</v>
      </c>
      <c r="CA97" s="82">
        <v>0</v>
      </c>
      <c r="CB97" s="82">
        <v>0</v>
      </c>
      <c r="CC97" s="82">
        <v>0</v>
      </c>
      <c r="CD97" s="82">
        <f>IF($AU$97="základní",$AG$97,0)</f>
        <v>0</v>
      </c>
      <c r="CE97" s="82">
        <f>IF($AU$97="snížená",$AG$97,0)</f>
        <v>0</v>
      </c>
      <c r="CF97" s="82">
        <f>IF($AU$97="zákl. přenesena",$AG$97,0)</f>
        <v>0</v>
      </c>
      <c r="CG97" s="82">
        <f>IF($AU$97="sníž. přenesena",$AG$97,0)</f>
        <v>0</v>
      </c>
      <c r="CH97" s="82">
        <f>IF($AU$97="nulová",$AG$97,0)</f>
        <v>0</v>
      </c>
      <c r="CI97" s="6">
        <f>IF($AU$97="základní",1,IF($AU$97="snížená",2,IF($AU$97="zákl. přenesena",4,IF($AU$97="sníž. přenesena",5,3))))</f>
        <v>1</v>
      </c>
      <c r="CJ97" s="6">
        <f>IF($AT$97="stavební čast",1,IF(8897="investiční čast",2,3))</f>
        <v>1</v>
      </c>
      <c r="CK97" s="6" t="str">
        <f>IF($D$97="Vyplň vlastní","","x")</f>
        <v>x</v>
      </c>
    </row>
    <row r="98" spans="2:89" s="6" customFormat="1" ht="21" customHeight="1">
      <c r="B98" s="22"/>
      <c r="C98" s="23"/>
      <c r="D98" s="78" t="s">
        <v>92</v>
      </c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190">
        <f>ROUNDUP($AG$87*$AS$98,2)</f>
        <v>0</v>
      </c>
      <c r="AH98" s="178"/>
      <c r="AI98" s="178"/>
      <c r="AJ98" s="178"/>
      <c r="AK98" s="178"/>
      <c r="AL98" s="178"/>
      <c r="AM98" s="178"/>
      <c r="AN98" s="191">
        <f>ROUNDUP($AG$98+$AV$98,2)</f>
        <v>0</v>
      </c>
      <c r="AO98" s="178"/>
      <c r="AP98" s="178"/>
      <c r="AQ98" s="24"/>
      <c r="AS98" s="83">
        <v>0</v>
      </c>
      <c r="AT98" s="84" t="s">
        <v>84</v>
      </c>
      <c r="AU98" s="84" t="s">
        <v>38</v>
      </c>
      <c r="AV98" s="85">
        <f>ROUNDUP(IF($AU$98="základní",$AG$98*$L$28,IF($AU$98="snížená",$AG$98*$L$29,0)),2)</f>
        <v>0</v>
      </c>
      <c r="BV98" s="6" t="s">
        <v>85</v>
      </c>
      <c r="BY98" s="82">
        <f>IF($AU$98="základní",$AV$98,0)</f>
        <v>0</v>
      </c>
      <c r="BZ98" s="82">
        <f>IF($AU$98="snížená",$AV$98,0)</f>
        <v>0</v>
      </c>
      <c r="CA98" s="82">
        <v>0</v>
      </c>
      <c r="CB98" s="82">
        <v>0</v>
      </c>
      <c r="CC98" s="82">
        <v>0</v>
      </c>
      <c r="CD98" s="82">
        <f>IF($AU$98="základní",$AG$98,0)</f>
        <v>0</v>
      </c>
      <c r="CE98" s="82">
        <f>IF($AU$98="snížená",$AG$98,0)</f>
        <v>0</v>
      </c>
      <c r="CF98" s="82">
        <f>IF($AU$98="zákl. přenesena",$AG$98,0)</f>
        <v>0</v>
      </c>
      <c r="CG98" s="82">
        <f>IF($AU$98="sníž. přenesena",$AG$98,0)</f>
        <v>0</v>
      </c>
      <c r="CH98" s="82">
        <f>IF($AU$98="nulová",$AG$98,0)</f>
        <v>0</v>
      </c>
      <c r="CI98" s="6">
        <f>IF($AU$98="základní",1,IF($AU$98="snížená",2,IF($AU$98="zákl. přenesena",4,IF($AU$98="sníž. přenesena",5,3))))</f>
        <v>1</v>
      </c>
      <c r="CJ98" s="6">
        <f>IF($AT$98="stavební čast",1,IF(8898="investiční čast",2,3))</f>
        <v>1</v>
      </c>
      <c r="CK98" s="6" t="str">
        <f>IF($D$98="Vyplň vlastní","","x")</f>
        <v>x</v>
      </c>
    </row>
    <row r="99" spans="2:89" s="6" customFormat="1" ht="21" customHeight="1">
      <c r="B99" s="22"/>
      <c r="C99" s="23"/>
      <c r="D99" s="78" t="s">
        <v>93</v>
      </c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190">
        <f>ROUNDUP($AG$87*$AS$99,2)</f>
        <v>0</v>
      </c>
      <c r="AH99" s="178"/>
      <c r="AI99" s="178"/>
      <c r="AJ99" s="178"/>
      <c r="AK99" s="178"/>
      <c r="AL99" s="178"/>
      <c r="AM99" s="178"/>
      <c r="AN99" s="191">
        <f>ROUNDUP($AG$99+$AV$99,2)</f>
        <v>0</v>
      </c>
      <c r="AO99" s="178"/>
      <c r="AP99" s="178"/>
      <c r="AQ99" s="24"/>
      <c r="AS99" s="83">
        <v>0</v>
      </c>
      <c r="AT99" s="84" t="s">
        <v>84</v>
      </c>
      <c r="AU99" s="84" t="s">
        <v>38</v>
      </c>
      <c r="AV99" s="85">
        <f>ROUNDUP(IF($AU$99="základní",$AG$99*$L$28,IF($AU$99="snížená",$AG$99*$L$29,0)),2)</f>
        <v>0</v>
      </c>
      <c r="BV99" s="6" t="s">
        <v>85</v>
      </c>
      <c r="BY99" s="82">
        <f>IF($AU$99="základní",$AV$99,0)</f>
        <v>0</v>
      </c>
      <c r="BZ99" s="82">
        <f>IF($AU$99="snížená",$AV$99,0)</f>
        <v>0</v>
      </c>
      <c r="CA99" s="82">
        <v>0</v>
      </c>
      <c r="CB99" s="82">
        <v>0</v>
      </c>
      <c r="CC99" s="82">
        <v>0</v>
      </c>
      <c r="CD99" s="82">
        <f>IF($AU$99="základní",$AG$99,0)</f>
        <v>0</v>
      </c>
      <c r="CE99" s="82">
        <f>IF($AU$99="snížená",$AG$99,0)</f>
        <v>0</v>
      </c>
      <c r="CF99" s="82">
        <f>IF($AU$99="zákl. přenesena",$AG$99,0)</f>
        <v>0</v>
      </c>
      <c r="CG99" s="82">
        <f>IF($AU$99="sníž. přenesena",$AG$99,0)</f>
        <v>0</v>
      </c>
      <c r="CH99" s="82">
        <f>IF($AU$99="nulová",$AG$99,0)</f>
        <v>0</v>
      </c>
      <c r="CI99" s="6">
        <f>IF($AU$99="základní",1,IF($AU$99="snížená",2,IF($AU$99="zákl. přenesena",4,IF($AU$99="sníž. přenesena",5,3))))</f>
        <v>1</v>
      </c>
      <c r="CJ99" s="6">
        <f>IF($AT$99="stavební čast",1,IF(8899="investiční čast",2,3))</f>
        <v>1</v>
      </c>
      <c r="CK99" s="6" t="str">
        <f>IF($D$99="Vyplň vlastní","","x")</f>
        <v>x</v>
      </c>
    </row>
    <row r="100" spans="2:89" s="6" customFormat="1" ht="21" customHeight="1">
      <c r="B100" s="22"/>
      <c r="C100" s="23"/>
      <c r="D100" s="78" t="s">
        <v>94</v>
      </c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190">
        <f>ROUNDUP($AG$87*$AS$100,2)</f>
        <v>0</v>
      </c>
      <c r="AH100" s="178"/>
      <c r="AI100" s="178"/>
      <c r="AJ100" s="178"/>
      <c r="AK100" s="178"/>
      <c r="AL100" s="178"/>
      <c r="AM100" s="178"/>
      <c r="AN100" s="191">
        <f>ROUNDUP($AG$100+$AV$100,2)</f>
        <v>0</v>
      </c>
      <c r="AO100" s="178"/>
      <c r="AP100" s="178"/>
      <c r="AQ100" s="24"/>
      <c r="AS100" s="83">
        <v>0</v>
      </c>
      <c r="AT100" s="84" t="s">
        <v>84</v>
      </c>
      <c r="AU100" s="84" t="s">
        <v>38</v>
      </c>
      <c r="AV100" s="85">
        <f>ROUNDUP(IF($AU$100="základní",$AG$100*$L$28,IF($AU$100="snížená",$AG$100*$L$29,0)),2)</f>
        <v>0</v>
      </c>
      <c r="BV100" s="6" t="s">
        <v>85</v>
      </c>
      <c r="BY100" s="82">
        <f>IF($AU$100="základní",$AV$100,0)</f>
        <v>0</v>
      </c>
      <c r="BZ100" s="82">
        <f>IF($AU$100="snížená",$AV$100,0)</f>
        <v>0</v>
      </c>
      <c r="CA100" s="82">
        <v>0</v>
      </c>
      <c r="CB100" s="82">
        <v>0</v>
      </c>
      <c r="CC100" s="82">
        <v>0</v>
      </c>
      <c r="CD100" s="82">
        <f>IF($AU$100="základní",$AG$100,0)</f>
        <v>0</v>
      </c>
      <c r="CE100" s="82">
        <f>IF($AU$100="snížená",$AG$100,0)</f>
        <v>0</v>
      </c>
      <c r="CF100" s="82">
        <f>IF($AU$100="zákl. přenesena",$AG$100,0)</f>
        <v>0</v>
      </c>
      <c r="CG100" s="82">
        <f>IF($AU$100="sníž. přenesena",$AG$100,0)</f>
        <v>0</v>
      </c>
      <c r="CH100" s="82">
        <f>IF($AU$100="nulová",$AG$100,0)</f>
        <v>0</v>
      </c>
      <c r="CI100" s="6">
        <f>IF($AU$100="základní",1,IF($AU$100="snížená",2,IF($AU$100="zákl. přenesena",4,IF($AU$100="sníž. přenesena",5,3))))</f>
        <v>1</v>
      </c>
      <c r="CJ100" s="6">
        <f>IF($AT$100="stavební čast",1,IF(88100="investiční čast",2,3))</f>
        <v>1</v>
      </c>
      <c r="CK100" s="6" t="str">
        <f>IF($D$100="Vyplň vlastní","","x")</f>
        <v>x</v>
      </c>
    </row>
    <row r="101" spans="2:89" s="6" customFormat="1" ht="21" customHeight="1">
      <c r="B101" s="22"/>
      <c r="C101" s="23"/>
      <c r="D101" s="192" t="s">
        <v>95</v>
      </c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23"/>
      <c r="AD101" s="23"/>
      <c r="AE101" s="23"/>
      <c r="AF101" s="23"/>
      <c r="AG101" s="190">
        <f>$AG$87*$AS$101</f>
        <v>0</v>
      </c>
      <c r="AH101" s="178"/>
      <c r="AI101" s="178"/>
      <c r="AJ101" s="178"/>
      <c r="AK101" s="178"/>
      <c r="AL101" s="178"/>
      <c r="AM101" s="178"/>
      <c r="AN101" s="191">
        <f>$AG$101+$AV$101</f>
        <v>0</v>
      </c>
      <c r="AO101" s="178"/>
      <c r="AP101" s="178"/>
      <c r="AQ101" s="24"/>
      <c r="AS101" s="83">
        <v>0</v>
      </c>
      <c r="AT101" s="84" t="s">
        <v>84</v>
      </c>
      <c r="AU101" s="84" t="s">
        <v>38</v>
      </c>
      <c r="AV101" s="85">
        <f>ROUNDUP(IF($AU$101="nulová",0,IF(OR($AU$101="základní",$AU$101="zákl. přenesena"),$AG$101*$L$28,$AG$101*$L$29)),1)</f>
        <v>0</v>
      </c>
      <c r="BV101" s="6" t="s">
        <v>96</v>
      </c>
      <c r="BY101" s="82">
        <f>IF($AU$101="základní",$AV$101,0)</f>
        <v>0</v>
      </c>
      <c r="BZ101" s="82">
        <f>IF($AU$101="snížená",$AV$101,0)</f>
        <v>0</v>
      </c>
      <c r="CA101" s="82">
        <f>IF($AU$101="zákl. přenesena",$AV$101,0)</f>
        <v>0</v>
      </c>
      <c r="CB101" s="82">
        <f>IF($AU$101="sníž. přenesena",$AV$101,0)</f>
        <v>0</v>
      </c>
      <c r="CC101" s="82">
        <f>IF($AU$101="nulová",$AV$101,0)</f>
        <v>0</v>
      </c>
      <c r="CD101" s="82">
        <f>IF($AU$101="základní",$AG$101,0)</f>
        <v>0</v>
      </c>
      <c r="CE101" s="82">
        <f>IF($AU$101="snížená",$AG$101,0)</f>
        <v>0</v>
      </c>
      <c r="CF101" s="82">
        <f>IF($AU$101="zákl. přenesena",$AG$101,0)</f>
        <v>0</v>
      </c>
      <c r="CG101" s="82">
        <f>IF($AU$101="sníž. přenesena",$AG$101,0)</f>
        <v>0</v>
      </c>
      <c r="CH101" s="82">
        <f>IF($AU$101="nulová",$AG$101,0)</f>
        <v>0</v>
      </c>
      <c r="CI101" s="6">
        <f>IF($AU$101="základní",1,IF($AU$101="snížená",2,IF($AU$101="zákl. přenesena",4,IF($AU$101="sníž. přenesena",5,3))))</f>
        <v>1</v>
      </c>
      <c r="CJ101" s="6">
        <f>IF($AT$101="stavební čast",1,IF(88101="investiční čast",2,3))</f>
        <v>1</v>
      </c>
      <c r="CK101" s="6">
        <f>IF($D$101="Vyplň vlastní","","x")</f>
      </c>
    </row>
    <row r="102" spans="2:89" s="6" customFormat="1" ht="21" customHeight="1">
      <c r="B102" s="22"/>
      <c r="C102" s="23"/>
      <c r="D102" s="192" t="s">
        <v>95</v>
      </c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23"/>
      <c r="AD102" s="23"/>
      <c r="AE102" s="23"/>
      <c r="AF102" s="23"/>
      <c r="AG102" s="190">
        <f>$AG$87*$AS$102</f>
        <v>0</v>
      </c>
      <c r="AH102" s="178"/>
      <c r="AI102" s="178"/>
      <c r="AJ102" s="178"/>
      <c r="AK102" s="178"/>
      <c r="AL102" s="178"/>
      <c r="AM102" s="178"/>
      <c r="AN102" s="191">
        <f>$AG$102+$AV$102</f>
        <v>0</v>
      </c>
      <c r="AO102" s="178"/>
      <c r="AP102" s="178"/>
      <c r="AQ102" s="24"/>
      <c r="AS102" s="83">
        <v>0</v>
      </c>
      <c r="AT102" s="84" t="s">
        <v>84</v>
      </c>
      <c r="AU102" s="84" t="s">
        <v>38</v>
      </c>
      <c r="AV102" s="85">
        <f>ROUNDUP(IF($AU$102="nulová",0,IF(OR($AU$102="základní",$AU$102="zákl. přenesena"),$AG$102*$L$28,$AG$102*$L$29)),1)</f>
        <v>0</v>
      </c>
      <c r="BV102" s="6" t="s">
        <v>96</v>
      </c>
      <c r="BY102" s="82">
        <f>IF($AU$102="základní",$AV$102,0)</f>
        <v>0</v>
      </c>
      <c r="BZ102" s="82">
        <f>IF($AU$102="snížená",$AV$102,0)</f>
        <v>0</v>
      </c>
      <c r="CA102" s="82">
        <f>IF($AU$102="zákl. přenesena",$AV$102,0)</f>
        <v>0</v>
      </c>
      <c r="CB102" s="82">
        <f>IF($AU$102="sníž. přenesena",$AV$102,0)</f>
        <v>0</v>
      </c>
      <c r="CC102" s="82">
        <f>IF($AU$102="nulová",$AV$102,0)</f>
        <v>0</v>
      </c>
      <c r="CD102" s="82">
        <f>IF($AU$102="základní",$AG$102,0)</f>
        <v>0</v>
      </c>
      <c r="CE102" s="82">
        <f>IF($AU$102="snížená",$AG$102,0)</f>
        <v>0</v>
      </c>
      <c r="CF102" s="82">
        <f>IF($AU$102="zákl. přenesena",$AG$102,0)</f>
        <v>0</v>
      </c>
      <c r="CG102" s="82">
        <f>IF($AU$102="sníž. přenesena",$AG$102,0)</f>
        <v>0</v>
      </c>
      <c r="CH102" s="82">
        <f>IF($AU$102="nulová",$AG$102,0)</f>
        <v>0</v>
      </c>
      <c r="CI102" s="6">
        <f>IF($AU$102="základní",1,IF($AU$102="snížená",2,IF($AU$102="zákl. přenesena",4,IF($AU$102="sníž. přenesena",5,3))))</f>
        <v>1</v>
      </c>
      <c r="CJ102" s="6">
        <f>IF($AT$102="stavební čast",1,IF(88102="investiční čast",2,3))</f>
        <v>1</v>
      </c>
      <c r="CK102" s="6">
        <f>IF($D$102="Vyplň vlastní","","x")</f>
      </c>
    </row>
    <row r="103" spans="2:89" s="6" customFormat="1" ht="21" customHeight="1">
      <c r="B103" s="22"/>
      <c r="C103" s="23"/>
      <c r="D103" s="192" t="s">
        <v>95</v>
      </c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23"/>
      <c r="AD103" s="23"/>
      <c r="AE103" s="23"/>
      <c r="AF103" s="23"/>
      <c r="AG103" s="190">
        <f>$AG$87*$AS$103</f>
        <v>0</v>
      </c>
      <c r="AH103" s="178"/>
      <c r="AI103" s="178"/>
      <c r="AJ103" s="178"/>
      <c r="AK103" s="178"/>
      <c r="AL103" s="178"/>
      <c r="AM103" s="178"/>
      <c r="AN103" s="191">
        <f>$AG$103+$AV$103</f>
        <v>0</v>
      </c>
      <c r="AO103" s="178"/>
      <c r="AP103" s="178"/>
      <c r="AQ103" s="24"/>
      <c r="AS103" s="86">
        <v>0</v>
      </c>
      <c r="AT103" s="87" t="s">
        <v>84</v>
      </c>
      <c r="AU103" s="87" t="s">
        <v>38</v>
      </c>
      <c r="AV103" s="88">
        <f>ROUNDUP(IF($AU$103="nulová",0,IF(OR($AU$103="základní",$AU$103="zákl. přenesena"),$AG$103*$L$28,$AG$103*$L$29)),1)</f>
        <v>0</v>
      </c>
      <c r="BV103" s="6" t="s">
        <v>96</v>
      </c>
      <c r="BY103" s="82">
        <f>IF($AU$103="základní",$AV$103,0)</f>
        <v>0</v>
      </c>
      <c r="BZ103" s="82">
        <f>IF($AU$103="snížená",$AV$103,0)</f>
        <v>0</v>
      </c>
      <c r="CA103" s="82">
        <f>IF($AU$103="zákl. přenesena",$AV$103,0)</f>
        <v>0</v>
      </c>
      <c r="CB103" s="82">
        <f>IF($AU$103="sníž. přenesena",$AV$103,0)</f>
        <v>0</v>
      </c>
      <c r="CC103" s="82">
        <f>IF($AU$103="nulová",$AV$103,0)</f>
        <v>0</v>
      </c>
      <c r="CD103" s="82">
        <f>IF($AU$103="základní",$AG$103,0)</f>
        <v>0</v>
      </c>
      <c r="CE103" s="82">
        <f>IF($AU$103="snížená",$AG$103,0)</f>
        <v>0</v>
      </c>
      <c r="CF103" s="82">
        <f>IF($AU$103="zákl. přenesena",$AG$103,0)</f>
        <v>0</v>
      </c>
      <c r="CG103" s="82">
        <f>IF($AU$103="sníž. přenesena",$AG$103,0)</f>
        <v>0</v>
      </c>
      <c r="CH103" s="82">
        <f>IF($AU$103="nulová",$AG$103,0)</f>
        <v>0</v>
      </c>
      <c r="CI103" s="6">
        <f>IF($AU$103="základní",1,IF($AU$103="snížená",2,IF($AU$103="zákl. přenesena",4,IF($AU$103="sníž. přenesena",5,3))))</f>
        <v>1</v>
      </c>
      <c r="CJ103" s="6">
        <f>IF($AT$103="stavební čast",1,IF(88103="investiční čast",2,3))</f>
        <v>1</v>
      </c>
      <c r="CK103" s="6">
        <f>IF($D$103="Vyplň vlastní","","x")</f>
      </c>
    </row>
    <row r="104" spans="2:43" s="6" customFormat="1" ht="12" customHeight="1">
      <c r="B104" s="22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4"/>
    </row>
    <row r="105" spans="2:43" s="6" customFormat="1" ht="30.75" customHeight="1">
      <c r="B105" s="22"/>
      <c r="C105" s="89" t="s">
        <v>97</v>
      </c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193">
        <f>ROUNDUP($AG$87+$AG$90,2)</f>
        <v>0</v>
      </c>
      <c r="AH105" s="194"/>
      <c r="AI105" s="194"/>
      <c r="AJ105" s="194"/>
      <c r="AK105" s="194"/>
      <c r="AL105" s="194"/>
      <c r="AM105" s="194"/>
      <c r="AN105" s="193">
        <f>ROUNDUP($AN$87+$AN$90,2)</f>
        <v>0</v>
      </c>
      <c r="AO105" s="194"/>
      <c r="AP105" s="194"/>
      <c r="AQ105" s="24"/>
    </row>
    <row r="106" spans="2:43" s="6" customFormat="1" ht="7.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6"/>
      <c r="AL106" s="46"/>
      <c r="AM106" s="46"/>
      <c r="AN106" s="46"/>
      <c r="AO106" s="46"/>
      <c r="AP106" s="46"/>
      <c r="AQ106" s="47"/>
    </row>
  </sheetData>
  <sheetProtection password="CC35" sheet="1" objects="1" scenarios="1" formatColumns="0" formatRows="0" sort="0" autoFilter="0"/>
  <mergeCells count="74">
    <mergeCell ref="AG105:AM105"/>
    <mergeCell ref="AN105:AP105"/>
    <mergeCell ref="AR2:BE2"/>
    <mergeCell ref="D103:AB103"/>
    <mergeCell ref="AG103:AM103"/>
    <mergeCell ref="AN103:AP103"/>
    <mergeCell ref="AG87:AM87"/>
    <mergeCell ref="AN87:AP87"/>
    <mergeCell ref="AG90:AM90"/>
    <mergeCell ref="AN90:AP90"/>
    <mergeCell ref="AG100:AM100"/>
    <mergeCell ref="AN100:AP100"/>
    <mergeCell ref="D101:AB101"/>
    <mergeCell ref="AG101:AM101"/>
    <mergeCell ref="AN101:AP101"/>
    <mergeCell ref="D102:AB102"/>
    <mergeCell ref="AG102:AM102"/>
    <mergeCell ref="AN102:AP102"/>
    <mergeCell ref="AG97:AM97"/>
    <mergeCell ref="AN97:AP97"/>
    <mergeCell ref="AG98:AM98"/>
    <mergeCell ref="AN98:AP98"/>
    <mergeCell ref="AG99:AM99"/>
    <mergeCell ref="AN99:AP99"/>
    <mergeCell ref="AG94:AM94"/>
    <mergeCell ref="AN94:AP94"/>
    <mergeCell ref="AG95:AM95"/>
    <mergeCell ref="AN95:AP95"/>
    <mergeCell ref="AG96:AM96"/>
    <mergeCell ref="AN96:AP96"/>
    <mergeCell ref="AG91:AM91"/>
    <mergeCell ref="AN91:AP91"/>
    <mergeCell ref="AG92:AM92"/>
    <mergeCell ref="AN92:AP92"/>
    <mergeCell ref="AG93:AM93"/>
    <mergeCell ref="AN93:AP9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X34:AB34"/>
    <mergeCell ref="AK34:AO34"/>
    <mergeCell ref="C76:AP76"/>
    <mergeCell ref="L78:AO78"/>
    <mergeCell ref="AM82:AP82"/>
    <mergeCell ref="AS82:AT84"/>
    <mergeCell ref="AM83:AP83"/>
    <mergeCell ref="L31:O31"/>
    <mergeCell ref="W31:AE31"/>
    <mergeCell ref="AK31:AO31"/>
    <mergeCell ref="L32:O32"/>
    <mergeCell ref="W32:AE32"/>
    <mergeCell ref="AK32:AO32"/>
    <mergeCell ref="AK28:AO28"/>
    <mergeCell ref="L29:O29"/>
    <mergeCell ref="W29:AE29"/>
    <mergeCell ref="AK29:AO29"/>
    <mergeCell ref="L30:O30"/>
    <mergeCell ref="W30:AE30"/>
    <mergeCell ref="AK30:AO30"/>
    <mergeCell ref="C2:AP2"/>
    <mergeCell ref="C4:AP4"/>
    <mergeCell ref="BE5:BE34"/>
    <mergeCell ref="K6:AO6"/>
    <mergeCell ref="E14:AJ14"/>
    <mergeCell ref="AK23:AO23"/>
    <mergeCell ref="AK24:AO24"/>
    <mergeCell ref="AK26:AO26"/>
    <mergeCell ref="L28:O28"/>
    <mergeCell ref="W28:AE28"/>
  </mergeCells>
  <dataValidations count="2">
    <dataValidation type="list" allowBlank="1" showInputMessage="1" showErrorMessage="1" error="Povoleny jsou hodnoty základní, snížená, zákl. přenesena, sníž. přenesena, nulová." sqref="AU91:AU104">
      <formula1>"základní,snížená,zákl. přenesena,sníž. přenesena,nulová"</formula1>
    </dataValidation>
    <dataValidation type="list" allowBlank="1" showInputMessage="1" showErrorMessage="1" error="Povoleny jsou hodnoty stavební čast, technologická čast, investiční čast." sqref="AT91:AT104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sku6 - Oprava fasády domu...'!C2" tooltip="sku6 - Oprava fasády domu...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2" width="10.5" style="2" hidden="1" customWidth="1"/>
    <col min="63" max="16384" width="10.5" style="1" customWidth="1"/>
  </cols>
  <sheetData>
    <row r="1" spans="1:256" s="3" customFormat="1" ht="22.5" customHeight="1">
      <c r="A1" s="145"/>
      <c r="B1" s="142"/>
      <c r="C1" s="142"/>
      <c r="D1" s="143" t="s">
        <v>1</v>
      </c>
      <c r="E1" s="142"/>
      <c r="F1" s="144" t="s">
        <v>760</v>
      </c>
      <c r="G1" s="144"/>
      <c r="H1" s="222" t="s">
        <v>761</v>
      </c>
      <c r="I1" s="222"/>
      <c r="J1" s="222"/>
      <c r="K1" s="222"/>
      <c r="L1" s="144" t="s">
        <v>762</v>
      </c>
      <c r="M1" s="142"/>
      <c r="N1" s="142"/>
      <c r="O1" s="143" t="s">
        <v>98</v>
      </c>
      <c r="P1" s="142"/>
      <c r="Q1" s="142"/>
      <c r="R1" s="142"/>
      <c r="S1" s="144" t="s">
        <v>763</v>
      </c>
      <c r="T1" s="144"/>
      <c r="U1" s="145"/>
      <c r="V1" s="14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56" s="2" customFormat="1" ht="37.5" customHeight="1">
      <c r="C2" s="159" t="s">
        <v>4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S2" s="195" t="s">
        <v>5</v>
      </c>
      <c r="T2" s="160"/>
      <c r="U2" s="160"/>
      <c r="V2" s="160"/>
      <c r="W2" s="160"/>
      <c r="X2" s="160"/>
      <c r="Y2" s="160"/>
      <c r="Z2" s="160"/>
      <c r="AA2" s="160"/>
      <c r="AB2" s="160"/>
      <c r="AC2" s="160"/>
      <c r="AT2" s="2" t="s">
        <v>75</v>
      </c>
      <c r="AZ2" s="6" t="s">
        <v>99</v>
      </c>
      <c r="BA2" s="6" t="s">
        <v>100</v>
      </c>
      <c r="BB2" s="6" t="s">
        <v>101</v>
      </c>
      <c r="BC2" s="6" t="s">
        <v>102</v>
      </c>
      <c r="BD2" s="6" t="s">
        <v>103</v>
      </c>
    </row>
    <row r="3" spans="2:5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17</v>
      </c>
      <c r="AZ3" s="6" t="s">
        <v>104</v>
      </c>
      <c r="BA3" s="6" t="s">
        <v>105</v>
      </c>
      <c r="BB3" s="6" t="s">
        <v>101</v>
      </c>
      <c r="BC3" s="6" t="s">
        <v>106</v>
      </c>
      <c r="BD3" s="6" t="s">
        <v>103</v>
      </c>
    </row>
    <row r="4" spans="2:56" s="2" customFormat="1" ht="37.5" customHeight="1">
      <c r="B4" s="10"/>
      <c r="C4" s="161" t="s">
        <v>107</v>
      </c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2"/>
      <c r="T4" s="13" t="s">
        <v>10</v>
      </c>
      <c r="AT4" s="2" t="s">
        <v>3</v>
      </c>
      <c r="AZ4" s="6" t="s">
        <v>108</v>
      </c>
      <c r="BA4" s="6" t="s">
        <v>109</v>
      </c>
      <c r="BB4" s="6" t="s">
        <v>101</v>
      </c>
      <c r="BC4" s="6" t="s">
        <v>110</v>
      </c>
      <c r="BD4" s="6" t="s">
        <v>103</v>
      </c>
    </row>
    <row r="5" spans="2:56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  <c r="AZ5" s="6" t="s">
        <v>111</v>
      </c>
      <c r="BA5" s="6" t="s">
        <v>112</v>
      </c>
      <c r="BB5" s="6" t="s">
        <v>101</v>
      </c>
      <c r="BC5" s="6" t="s">
        <v>113</v>
      </c>
      <c r="BD5" s="6" t="s">
        <v>103</v>
      </c>
    </row>
    <row r="6" spans="2:56" s="6" customFormat="1" ht="18.75" customHeight="1">
      <c r="B6" s="22"/>
      <c r="C6" s="23"/>
      <c r="D6" s="15" t="s">
        <v>14</v>
      </c>
      <c r="E6" s="23"/>
      <c r="F6" s="166" t="s">
        <v>15</v>
      </c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23"/>
      <c r="R6" s="24"/>
      <c r="AZ6" s="6" t="s">
        <v>114</v>
      </c>
      <c r="BA6" s="6" t="s">
        <v>115</v>
      </c>
      <c r="BB6" s="6" t="s">
        <v>101</v>
      </c>
      <c r="BC6" s="6" t="s">
        <v>116</v>
      </c>
      <c r="BD6" s="6" t="s">
        <v>103</v>
      </c>
    </row>
    <row r="7" spans="2:56" s="6" customFormat="1" ht="7.5" customHeight="1"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AZ7" s="6" t="s">
        <v>117</v>
      </c>
      <c r="BA7" s="6" t="s">
        <v>118</v>
      </c>
      <c r="BB7" s="6" t="s">
        <v>101</v>
      </c>
      <c r="BC7" s="6" t="s">
        <v>119</v>
      </c>
      <c r="BD7" s="6" t="s">
        <v>103</v>
      </c>
    </row>
    <row r="8" spans="2:18" s="6" customFormat="1" ht="15" customHeight="1">
      <c r="B8" s="22"/>
      <c r="C8" s="23"/>
      <c r="D8" s="16" t="s">
        <v>18</v>
      </c>
      <c r="E8" s="23"/>
      <c r="F8" s="17" t="s">
        <v>19</v>
      </c>
      <c r="G8" s="23"/>
      <c r="H8" s="23"/>
      <c r="I8" s="23"/>
      <c r="J8" s="23"/>
      <c r="K8" s="23"/>
      <c r="L8" s="23"/>
      <c r="M8" s="16" t="s">
        <v>20</v>
      </c>
      <c r="N8" s="23"/>
      <c r="O8" s="198" t="str">
        <f>'Rekapitulace stavby'!$AN$8</f>
        <v>21.08.2012</v>
      </c>
      <c r="P8" s="178"/>
      <c r="Q8" s="23"/>
      <c r="R8" s="24"/>
    </row>
    <row r="9" spans="2:18" s="6" customFormat="1" ht="7.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</row>
    <row r="10" spans="2:18" s="6" customFormat="1" ht="15" customHeight="1">
      <c r="B10" s="22"/>
      <c r="C10" s="23"/>
      <c r="D10" s="16" t="s">
        <v>24</v>
      </c>
      <c r="E10" s="23"/>
      <c r="F10" s="23"/>
      <c r="G10" s="23"/>
      <c r="H10" s="23"/>
      <c r="I10" s="23"/>
      <c r="J10" s="23"/>
      <c r="K10" s="23"/>
      <c r="L10" s="23"/>
      <c r="M10" s="16" t="s">
        <v>25</v>
      </c>
      <c r="N10" s="23"/>
      <c r="O10" s="179">
        <f>IF('Rekapitulace stavby'!$AN$10="","",'Rekapitulace stavby'!$AN$10)</f>
      </c>
      <c r="P10" s="178"/>
      <c r="Q10" s="23"/>
      <c r="R10" s="24"/>
    </row>
    <row r="11" spans="2:18" s="6" customFormat="1" ht="18.75" customHeight="1">
      <c r="B11" s="22"/>
      <c r="C11" s="23"/>
      <c r="D11" s="23"/>
      <c r="E11" s="17" t="str">
        <f>IF('Rekapitulace stavby'!$E$11="","",'Rekapitulace stavby'!$E$11)</f>
        <v>SMO Městský obvod Vítkovice,Mírové náměstí 1</v>
      </c>
      <c r="F11" s="23"/>
      <c r="G11" s="23"/>
      <c r="H11" s="23"/>
      <c r="I11" s="23"/>
      <c r="J11" s="23"/>
      <c r="K11" s="23"/>
      <c r="L11" s="23"/>
      <c r="M11" s="16" t="s">
        <v>27</v>
      </c>
      <c r="N11" s="23"/>
      <c r="O11" s="179">
        <f>IF('Rekapitulace stavby'!$AN$11="","",'Rekapitulace stavby'!$AN$11)</f>
      </c>
      <c r="P11" s="178"/>
      <c r="Q11" s="23"/>
      <c r="R11" s="24"/>
    </row>
    <row r="12" spans="2:18" s="6" customFormat="1" ht="7.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</row>
    <row r="13" spans="2:18" s="6" customFormat="1" ht="15" customHeight="1">
      <c r="B13" s="22"/>
      <c r="C13" s="23"/>
      <c r="D13" s="16" t="s">
        <v>28</v>
      </c>
      <c r="E13" s="23"/>
      <c r="F13" s="23"/>
      <c r="G13" s="23"/>
      <c r="H13" s="23"/>
      <c r="I13" s="23"/>
      <c r="J13" s="23"/>
      <c r="K13" s="23"/>
      <c r="L13" s="23"/>
      <c r="M13" s="16" t="s">
        <v>25</v>
      </c>
      <c r="N13" s="23"/>
      <c r="O13" s="199" t="str">
        <f>IF('Rekapitulace stavby'!$AN$13="","",'Rekapitulace stavby'!$AN$13)</f>
        <v>Vyplň údaj</v>
      </c>
      <c r="P13" s="178"/>
      <c r="Q13" s="23"/>
      <c r="R13" s="24"/>
    </row>
    <row r="14" spans="2:18" s="6" customFormat="1" ht="18.75" customHeight="1">
      <c r="B14" s="22"/>
      <c r="C14" s="23"/>
      <c r="D14" s="23"/>
      <c r="E14" s="199" t="str">
        <f>IF('Rekapitulace stavby'!$E$14="","",'Rekapitulace stavby'!$E$14)</f>
        <v>Vyplň údaj</v>
      </c>
      <c r="F14" s="178"/>
      <c r="G14" s="178"/>
      <c r="H14" s="178"/>
      <c r="I14" s="178"/>
      <c r="J14" s="178"/>
      <c r="K14" s="178"/>
      <c r="L14" s="178"/>
      <c r="M14" s="16" t="s">
        <v>27</v>
      </c>
      <c r="N14" s="23"/>
      <c r="O14" s="199" t="str">
        <f>IF('Rekapitulace stavby'!$AN$14="","",'Rekapitulace stavby'!$AN$14)</f>
        <v>Vyplň údaj</v>
      </c>
      <c r="P14" s="178"/>
      <c r="Q14" s="23"/>
      <c r="R14" s="24"/>
    </row>
    <row r="15" spans="2:18" s="6" customFormat="1" ht="7.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</row>
    <row r="16" spans="2:18" s="6" customFormat="1" ht="15" customHeight="1">
      <c r="B16" s="22"/>
      <c r="C16" s="23"/>
      <c r="D16" s="16" t="s">
        <v>30</v>
      </c>
      <c r="E16" s="23"/>
      <c r="F16" s="23"/>
      <c r="G16" s="23"/>
      <c r="H16" s="23"/>
      <c r="I16" s="23"/>
      <c r="J16" s="23"/>
      <c r="K16" s="23"/>
      <c r="L16" s="23"/>
      <c r="M16" s="16" t="s">
        <v>25</v>
      </c>
      <c r="N16" s="23"/>
      <c r="O16" s="179">
        <f>IF('Rekapitulace stavby'!$AN$16="","",'Rekapitulace stavby'!$AN$16)</f>
      </c>
      <c r="P16" s="178"/>
      <c r="Q16" s="23"/>
      <c r="R16" s="24"/>
    </row>
    <row r="17" spans="2:18" s="6" customFormat="1" ht="18.75" customHeight="1">
      <c r="B17" s="22"/>
      <c r="C17" s="23"/>
      <c r="D17" s="23"/>
      <c r="E17" s="17" t="str">
        <f>IF('Rekapitulace stavby'!$E$17="","",'Rekapitulace stavby'!$E$17)</f>
        <v>VS PROJEKT s.r.o.,Na Obvodu 45,703 00 Ostrava</v>
      </c>
      <c r="F17" s="23"/>
      <c r="G17" s="23"/>
      <c r="H17" s="23"/>
      <c r="I17" s="23"/>
      <c r="J17" s="23"/>
      <c r="K17" s="23"/>
      <c r="L17" s="23"/>
      <c r="M17" s="16" t="s">
        <v>27</v>
      </c>
      <c r="N17" s="23"/>
      <c r="O17" s="179">
        <f>IF('Rekapitulace stavby'!$AN$17="","",'Rekapitulace stavby'!$AN$17)</f>
      </c>
      <c r="P17" s="178"/>
      <c r="Q17" s="23"/>
      <c r="R17" s="24"/>
    </row>
    <row r="18" spans="2:18" s="6" customFormat="1" ht="7.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4"/>
    </row>
    <row r="19" spans="2:18" s="6" customFormat="1" ht="15" customHeight="1">
      <c r="B19" s="22"/>
      <c r="C19" s="23"/>
      <c r="D19" s="16" t="s">
        <v>32</v>
      </c>
      <c r="E19" s="23"/>
      <c r="F19" s="23"/>
      <c r="G19" s="23"/>
      <c r="H19" s="23"/>
      <c r="I19" s="23"/>
      <c r="J19" s="23"/>
      <c r="K19" s="23"/>
      <c r="L19" s="23"/>
      <c r="M19" s="16" t="s">
        <v>25</v>
      </c>
      <c r="N19" s="23"/>
      <c r="O19" s="179">
        <f>IF('Rekapitulace stavby'!$AN$19="","",'Rekapitulace stavby'!$AN$19)</f>
      </c>
      <c r="P19" s="178"/>
      <c r="Q19" s="23"/>
      <c r="R19" s="24"/>
    </row>
    <row r="20" spans="2:18" s="6" customFormat="1" ht="18.75" customHeight="1">
      <c r="B20" s="22"/>
      <c r="C20" s="23"/>
      <c r="D20" s="23"/>
      <c r="E20" s="17" t="str">
        <f>IF('Rekapitulace stavby'!$E$20="","",'Rekapitulace stavby'!$E$20)</f>
        <v>Beránek</v>
      </c>
      <c r="F20" s="23"/>
      <c r="G20" s="23"/>
      <c r="H20" s="23"/>
      <c r="I20" s="23"/>
      <c r="J20" s="23"/>
      <c r="K20" s="23"/>
      <c r="L20" s="23"/>
      <c r="M20" s="16" t="s">
        <v>27</v>
      </c>
      <c r="N20" s="23"/>
      <c r="O20" s="179">
        <f>IF('Rekapitulace stavby'!$AN$20="","",'Rekapitulace stavby'!$AN$20)</f>
      </c>
      <c r="P20" s="178"/>
      <c r="Q20" s="23"/>
      <c r="R20" s="24"/>
    </row>
    <row r="21" spans="2:18" s="6" customFormat="1" ht="7.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</row>
    <row r="22" spans="2:18" s="6" customFormat="1" ht="7.5" customHeight="1">
      <c r="B22" s="22"/>
      <c r="C22" s="23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23"/>
      <c r="R22" s="24"/>
    </row>
    <row r="23" spans="2:18" s="6" customFormat="1" ht="15" customHeight="1">
      <c r="B23" s="22"/>
      <c r="C23" s="23"/>
      <c r="D23" s="90" t="s">
        <v>120</v>
      </c>
      <c r="E23" s="23"/>
      <c r="F23" s="23"/>
      <c r="G23" s="23"/>
      <c r="H23" s="23"/>
      <c r="I23" s="23"/>
      <c r="J23" s="23"/>
      <c r="K23" s="23"/>
      <c r="L23" s="23"/>
      <c r="M23" s="168">
        <f>$N$87</f>
        <v>0</v>
      </c>
      <c r="N23" s="178"/>
      <c r="O23" s="178"/>
      <c r="P23" s="178"/>
      <c r="Q23" s="23"/>
      <c r="R23" s="24"/>
    </row>
    <row r="24" spans="2:18" s="6" customFormat="1" ht="15" customHeight="1">
      <c r="B24" s="22"/>
      <c r="C24" s="23"/>
      <c r="D24" s="21" t="s">
        <v>90</v>
      </c>
      <c r="E24" s="23"/>
      <c r="F24" s="23"/>
      <c r="G24" s="23"/>
      <c r="H24" s="23"/>
      <c r="I24" s="23"/>
      <c r="J24" s="23"/>
      <c r="K24" s="23"/>
      <c r="L24" s="23"/>
      <c r="M24" s="168">
        <f>$N$110</f>
        <v>0</v>
      </c>
      <c r="N24" s="178"/>
      <c r="O24" s="178"/>
      <c r="P24" s="178"/>
      <c r="Q24" s="23"/>
      <c r="R24" s="24"/>
    </row>
    <row r="25" spans="2:18" s="6" customFormat="1" ht="7.5" customHeight="1">
      <c r="B25" s="2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</row>
    <row r="26" spans="2:18" s="6" customFormat="1" ht="26.25" customHeight="1">
      <c r="B26" s="22"/>
      <c r="C26" s="23"/>
      <c r="D26" s="91" t="s">
        <v>36</v>
      </c>
      <c r="E26" s="23"/>
      <c r="F26" s="23"/>
      <c r="G26" s="23"/>
      <c r="H26" s="23"/>
      <c r="I26" s="23"/>
      <c r="J26" s="23"/>
      <c r="K26" s="23"/>
      <c r="L26" s="23"/>
      <c r="M26" s="200">
        <f>ROUNDUP($M$23+$M$24,2)</f>
        <v>0</v>
      </c>
      <c r="N26" s="178"/>
      <c r="O26" s="178"/>
      <c r="P26" s="178"/>
      <c r="Q26" s="23"/>
      <c r="R26" s="24"/>
    </row>
    <row r="27" spans="2:18" s="6" customFormat="1" ht="7.5" customHeight="1">
      <c r="B27" s="22"/>
      <c r="C27" s="23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23"/>
      <c r="R27" s="24"/>
    </row>
    <row r="28" spans="2:18" s="6" customFormat="1" ht="15" customHeight="1">
      <c r="B28" s="22"/>
      <c r="C28" s="23"/>
      <c r="D28" s="28" t="s">
        <v>37</v>
      </c>
      <c r="E28" s="28" t="s">
        <v>38</v>
      </c>
      <c r="F28" s="29">
        <v>0.2</v>
      </c>
      <c r="G28" s="92" t="s">
        <v>39</v>
      </c>
      <c r="H28" s="201">
        <f>ROUNDUP((((SUM($BE$110:$BE$117)+SUM($BE$134:$BE$353))+SUM($BE$354:$BE$355))),2)</f>
        <v>0</v>
      </c>
      <c r="I28" s="178"/>
      <c r="J28" s="178"/>
      <c r="K28" s="23"/>
      <c r="L28" s="23"/>
      <c r="M28" s="201">
        <f>ROUNDUP((((SUM($BE$110:$BE$117)+SUM($BE$134:$BE$353))*$F$28)+SUM($BE$354:$BE$355)*$F$28),1)</f>
        <v>0</v>
      </c>
      <c r="N28" s="178"/>
      <c r="O28" s="178"/>
      <c r="P28" s="178"/>
      <c r="Q28" s="23"/>
      <c r="R28" s="24"/>
    </row>
    <row r="29" spans="2:18" s="6" customFormat="1" ht="15" customHeight="1">
      <c r="B29" s="22"/>
      <c r="C29" s="23"/>
      <c r="D29" s="23"/>
      <c r="E29" s="28" t="s">
        <v>40</v>
      </c>
      <c r="F29" s="29">
        <v>0.14</v>
      </c>
      <c r="G29" s="92" t="s">
        <v>39</v>
      </c>
      <c r="H29" s="201">
        <f>ROUNDUP((((SUM($BF$110:$BF$117)+SUM($BF$134:$BF$353))+SUM($BF$354:$BF$355))),2)</f>
        <v>0</v>
      </c>
      <c r="I29" s="178"/>
      <c r="J29" s="178"/>
      <c r="K29" s="23"/>
      <c r="L29" s="23"/>
      <c r="M29" s="201">
        <f>ROUNDUP((((SUM($BF$110:$BF$117)+SUM($BF$134:$BF$353))*$F$29)+SUM($BF$354:$BF$355)*$F$29),1)</f>
        <v>0</v>
      </c>
      <c r="N29" s="178"/>
      <c r="O29" s="178"/>
      <c r="P29" s="178"/>
      <c r="Q29" s="23"/>
      <c r="R29" s="24"/>
    </row>
    <row r="30" spans="2:18" s="6" customFormat="1" ht="15" customHeight="1" hidden="1">
      <c r="B30" s="22"/>
      <c r="C30" s="23"/>
      <c r="D30" s="23"/>
      <c r="E30" s="28" t="s">
        <v>41</v>
      </c>
      <c r="F30" s="29">
        <v>0.2</v>
      </c>
      <c r="G30" s="92" t="s">
        <v>39</v>
      </c>
      <c r="H30" s="201">
        <f>ROUNDUP((((SUM($BG$110:$BG$117)+SUM($BG$134:$BG$353))+SUM($BG$354:$BG$355))),2)</f>
        <v>0</v>
      </c>
      <c r="I30" s="178"/>
      <c r="J30" s="178"/>
      <c r="K30" s="23"/>
      <c r="L30" s="23"/>
      <c r="M30" s="201">
        <v>0</v>
      </c>
      <c r="N30" s="178"/>
      <c r="O30" s="178"/>
      <c r="P30" s="178"/>
      <c r="Q30" s="23"/>
      <c r="R30" s="24"/>
    </row>
    <row r="31" spans="2:18" s="6" customFormat="1" ht="15" customHeight="1" hidden="1">
      <c r="B31" s="22"/>
      <c r="C31" s="23"/>
      <c r="D31" s="23"/>
      <c r="E31" s="28" t="s">
        <v>42</v>
      </c>
      <c r="F31" s="29">
        <v>0.14</v>
      </c>
      <c r="G31" s="92" t="s">
        <v>39</v>
      </c>
      <c r="H31" s="201">
        <f>ROUNDUP((((SUM($BH$110:$BH$117)+SUM($BH$134:$BH$353))+SUM($BH$354:$BH$355))),2)</f>
        <v>0</v>
      </c>
      <c r="I31" s="178"/>
      <c r="J31" s="178"/>
      <c r="K31" s="23"/>
      <c r="L31" s="23"/>
      <c r="M31" s="201">
        <v>0</v>
      </c>
      <c r="N31" s="178"/>
      <c r="O31" s="178"/>
      <c r="P31" s="178"/>
      <c r="Q31" s="23"/>
      <c r="R31" s="24"/>
    </row>
    <row r="32" spans="2:18" s="6" customFormat="1" ht="15" customHeight="1" hidden="1">
      <c r="B32" s="22"/>
      <c r="C32" s="23"/>
      <c r="D32" s="23"/>
      <c r="E32" s="28" t="s">
        <v>43</v>
      </c>
      <c r="F32" s="29">
        <v>0</v>
      </c>
      <c r="G32" s="92" t="s">
        <v>39</v>
      </c>
      <c r="H32" s="201">
        <f>ROUNDUP((((SUM($BI$110:$BI$117)+SUM($BI$134:$BI$353))+SUM($BI$354:$BI$355))),2)</f>
        <v>0</v>
      </c>
      <c r="I32" s="178"/>
      <c r="J32" s="178"/>
      <c r="K32" s="23"/>
      <c r="L32" s="23"/>
      <c r="M32" s="201">
        <v>0</v>
      </c>
      <c r="N32" s="178"/>
      <c r="O32" s="178"/>
      <c r="P32" s="178"/>
      <c r="Q32" s="23"/>
      <c r="R32" s="24"/>
    </row>
    <row r="33" spans="2:18" s="6" customFormat="1" ht="7.5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/>
    </row>
    <row r="34" spans="2:18" s="6" customFormat="1" ht="26.25" customHeight="1">
      <c r="B34" s="22"/>
      <c r="C34" s="32"/>
      <c r="D34" s="33" t="s">
        <v>44</v>
      </c>
      <c r="E34" s="34"/>
      <c r="F34" s="34"/>
      <c r="G34" s="93" t="s">
        <v>45</v>
      </c>
      <c r="H34" s="35" t="s">
        <v>46</v>
      </c>
      <c r="I34" s="34"/>
      <c r="J34" s="34"/>
      <c r="K34" s="34"/>
      <c r="L34" s="176">
        <f>ROUNDUP(SUM($M$26:$M$32),2)</f>
        <v>0</v>
      </c>
      <c r="M34" s="175"/>
      <c r="N34" s="175"/>
      <c r="O34" s="175"/>
      <c r="P34" s="177"/>
      <c r="Q34" s="32"/>
      <c r="R34" s="24"/>
    </row>
    <row r="35" spans="2:18" s="6" customFormat="1" ht="15" customHeight="1">
      <c r="B35" s="2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</row>
    <row r="36" spans="2:18" s="6" customFormat="1" ht="15" customHeight="1"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</row>
    <row r="37" spans="2:18" s="2" customFormat="1" ht="14.25" customHeight="1">
      <c r="B37" s="10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/>
    </row>
    <row r="38" spans="2:18" s="2" customFormat="1" ht="14.25" customHeight="1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2"/>
    </row>
    <row r="39" spans="2:18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2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2"/>
      <c r="C50" s="23"/>
      <c r="D50" s="36" t="s">
        <v>47</v>
      </c>
      <c r="E50" s="37"/>
      <c r="F50" s="37"/>
      <c r="G50" s="37"/>
      <c r="H50" s="38"/>
      <c r="I50" s="23"/>
      <c r="J50" s="36" t="s">
        <v>48</v>
      </c>
      <c r="K50" s="37"/>
      <c r="L50" s="37"/>
      <c r="M50" s="37"/>
      <c r="N50" s="37"/>
      <c r="O50" s="37"/>
      <c r="P50" s="38"/>
      <c r="Q50" s="23"/>
      <c r="R50" s="24"/>
    </row>
    <row r="51" spans="2:18" s="2" customFormat="1" ht="14.25" customHeight="1">
      <c r="B51" s="10"/>
      <c r="C51" s="11"/>
      <c r="D51" s="39"/>
      <c r="E51" s="11"/>
      <c r="F51" s="11"/>
      <c r="G51" s="11"/>
      <c r="H51" s="40"/>
      <c r="I51" s="11"/>
      <c r="J51" s="39"/>
      <c r="K51" s="11"/>
      <c r="L51" s="11"/>
      <c r="M51" s="11"/>
      <c r="N51" s="11"/>
      <c r="O51" s="11"/>
      <c r="P51" s="40"/>
      <c r="Q51" s="11"/>
      <c r="R51" s="12"/>
    </row>
    <row r="52" spans="2:18" s="2" customFormat="1" ht="14.25" customHeight="1">
      <c r="B52" s="10"/>
      <c r="C52" s="11"/>
      <c r="D52" s="39"/>
      <c r="E52" s="11"/>
      <c r="F52" s="11"/>
      <c r="G52" s="11"/>
      <c r="H52" s="40"/>
      <c r="I52" s="11"/>
      <c r="J52" s="39"/>
      <c r="K52" s="11"/>
      <c r="L52" s="11"/>
      <c r="M52" s="11"/>
      <c r="N52" s="11"/>
      <c r="O52" s="11"/>
      <c r="P52" s="40"/>
      <c r="Q52" s="11"/>
      <c r="R52" s="12"/>
    </row>
    <row r="53" spans="2:18" s="2" customFormat="1" ht="14.25" customHeight="1">
      <c r="B53" s="10"/>
      <c r="C53" s="11"/>
      <c r="D53" s="39"/>
      <c r="E53" s="11"/>
      <c r="F53" s="11"/>
      <c r="G53" s="11"/>
      <c r="H53" s="40"/>
      <c r="I53" s="11"/>
      <c r="J53" s="39"/>
      <c r="K53" s="11"/>
      <c r="L53" s="11"/>
      <c r="M53" s="11"/>
      <c r="N53" s="11"/>
      <c r="O53" s="11"/>
      <c r="P53" s="40"/>
      <c r="Q53" s="11"/>
      <c r="R53" s="12"/>
    </row>
    <row r="54" spans="2:18" s="2" customFormat="1" ht="14.25" customHeight="1">
      <c r="B54" s="10"/>
      <c r="C54" s="11"/>
      <c r="D54" s="39"/>
      <c r="E54" s="11"/>
      <c r="F54" s="11"/>
      <c r="G54" s="11"/>
      <c r="H54" s="40"/>
      <c r="I54" s="11"/>
      <c r="J54" s="39"/>
      <c r="K54" s="11"/>
      <c r="L54" s="11"/>
      <c r="M54" s="11"/>
      <c r="N54" s="11"/>
      <c r="O54" s="11"/>
      <c r="P54" s="40"/>
      <c r="Q54" s="11"/>
      <c r="R54" s="12"/>
    </row>
    <row r="55" spans="2:18" s="2" customFormat="1" ht="14.25" customHeight="1">
      <c r="B55" s="10"/>
      <c r="C55" s="11"/>
      <c r="D55" s="39"/>
      <c r="E55" s="11"/>
      <c r="F55" s="11"/>
      <c r="G55" s="11"/>
      <c r="H55" s="40"/>
      <c r="I55" s="11"/>
      <c r="J55" s="39"/>
      <c r="K55" s="11"/>
      <c r="L55" s="11"/>
      <c r="M55" s="11"/>
      <c r="N55" s="11"/>
      <c r="O55" s="11"/>
      <c r="P55" s="40"/>
      <c r="Q55" s="11"/>
      <c r="R55" s="12"/>
    </row>
    <row r="56" spans="2:18" s="2" customFormat="1" ht="14.25" customHeight="1">
      <c r="B56" s="10"/>
      <c r="C56" s="11"/>
      <c r="D56" s="39"/>
      <c r="E56" s="11"/>
      <c r="F56" s="11"/>
      <c r="G56" s="11"/>
      <c r="H56" s="40"/>
      <c r="I56" s="11"/>
      <c r="J56" s="39"/>
      <c r="K56" s="11"/>
      <c r="L56" s="11"/>
      <c r="M56" s="11"/>
      <c r="N56" s="11"/>
      <c r="O56" s="11"/>
      <c r="P56" s="40"/>
      <c r="Q56" s="11"/>
      <c r="R56" s="12"/>
    </row>
    <row r="57" spans="2:18" s="2" customFormat="1" ht="14.25" customHeight="1">
      <c r="B57" s="10"/>
      <c r="C57" s="11"/>
      <c r="D57" s="39"/>
      <c r="E57" s="11"/>
      <c r="F57" s="11"/>
      <c r="G57" s="11"/>
      <c r="H57" s="40"/>
      <c r="I57" s="11"/>
      <c r="J57" s="39"/>
      <c r="K57" s="11"/>
      <c r="L57" s="11"/>
      <c r="M57" s="11"/>
      <c r="N57" s="11"/>
      <c r="O57" s="11"/>
      <c r="P57" s="40"/>
      <c r="Q57" s="11"/>
      <c r="R57" s="12"/>
    </row>
    <row r="58" spans="2:18" s="2" customFormat="1" ht="14.25" customHeight="1">
      <c r="B58" s="10"/>
      <c r="C58" s="11"/>
      <c r="D58" s="39"/>
      <c r="E58" s="11"/>
      <c r="F58" s="11"/>
      <c r="G58" s="11"/>
      <c r="H58" s="40"/>
      <c r="I58" s="11"/>
      <c r="J58" s="39"/>
      <c r="K58" s="11"/>
      <c r="L58" s="11"/>
      <c r="M58" s="11"/>
      <c r="N58" s="11"/>
      <c r="O58" s="11"/>
      <c r="P58" s="40"/>
      <c r="Q58" s="11"/>
      <c r="R58" s="12"/>
    </row>
    <row r="59" spans="2:18" s="6" customFormat="1" ht="15.75" customHeight="1">
      <c r="B59" s="22"/>
      <c r="C59" s="23"/>
      <c r="D59" s="41" t="s">
        <v>49</v>
      </c>
      <c r="E59" s="42"/>
      <c r="F59" s="42"/>
      <c r="G59" s="43" t="s">
        <v>50</v>
      </c>
      <c r="H59" s="44"/>
      <c r="I59" s="23"/>
      <c r="J59" s="41" t="s">
        <v>49</v>
      </c>
      <c r="K59" s="42"/>
      <c r="L59" s="42"/>
      <c r="M59" s="42"/>
      <c r="N59" s="43" t="s">
        <v>50</v>
      </c>
      <c r="O59" s="42"/>
      <c r="P59" s="44"/>
      <c r="Q59" s="23"/>
      <c r="R59" s="24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2"/>
      <c r="C61" s="23"/>
      <c r="D61" s="36" t="s">
        <v>51</v>
      </c>
      <c r="E61" s="37"/>
      <c r="F61" s="37"/>
      <c r="G61" s="37"/>
      <c r="H61" s="38"/>
      <c r="I61" s="23"/>
      <c r="J61" s="36" t="s">
        <v>52</v>
      </c>
      <c r="K61" s="37"/>
      <c r="L61" s="37"/>
      <c r="M61" s="37"/>
      <c r="N61" s="37"/>
      <c r="O61" s="37"/>
      <c r="P61" s="38"/>
      <c r="Q61" s="23"/>
      <c r="R61" s="24"/>
    </row>
    <row r="62" spans="2:18" s="2" customFormat="1" ht="14.25" customHeight="1">
      <c r="B62" s="10"/>
      <c r="C62" s="11"/>
      <c r="D62" s="39"/>
      <c r="E62" s="11"/>
      <c r="F62" s="11"/>
      <c r="G62" s="11"/>
      <c r="H62" s="40"/>
      <c r="I62" s="11"/>
      <c r="J62" s="39"/>
      <c r="K62" s="11"/>
      <c r="L62" s="11"/>
      <c r="M62" s="11"/>
      <c r="N62" s="11"/>
      <c r="O62" s="11"/>
      <c r="P62" s="40"/>
      <c r="Q62" s="11"/>
      <c r="R62" s="12"/>
    </row>
    <row r="63" spans="2:18" s="2" customFormat="1" ht="14.25" customHeight="1">
      <c r="B63" s="10"/>
      <c r="C63" s="11"/>
      <c r="D63" s="39"/>
      <c r="E63" s="11"/>
      <c r="F63" s="11"/>
      <c r="G63" s="11"/>
      <c r="H63" s="40"/>
      <c r="I63" s="11"/>
      <c r="J63" s="39"/>
      <c r="K63" s="11"/>
      <c r="L63" s="11"/>
      <c r="M63" s="11"/>
      <c r="N63" s="11"/>
      <c r="O63" s="11"/>
      <c r="P63" s="40"/>
      <c r="Q63" s="11"/>
      <c r="R63" s="12"/>
    </row>
    <row r="64" spans="2:18" s="2" customFormat="1" ht="14.25" customHeight="1">
      <c r="B64" s="10"/>
      <c r="C64" s="11"/>
      <c r="D64" s="39"/>
      <c r="E64" s="11"/>
      <c r="F64" s="11"/>
      <c r="G64" s="11"/>
      <c r="H64" s="40"/>
      <c r="I64" s="11"/>
      <c r="J64" s="39"/>
      <c r="K64" s="11"/>
      <c r="L64" s="11"/>
      <c r="M64" s="11"/>
      <c r="N64" s="11"/>
      <c r="O64" s="11"/>
      <c r="P64" s="40"/>
      <c r="Q64" s="11"/>
      <c r="R64" s="12"/>
    </row>
    <row r="65" spans="2:18" s="2" customFormat="1" ht="14.25" customHeight="1">
      <c r="B65" s="10"/>
      <c r="C65" s="11"/>
      <c r="D65" s="39"/>
      <c r="E65" s="11"/>
      <c r="F65" s="11"/>
      <c r="G65" s="11"/>
      <c r="H65" s="40"/>
      <c r="I65" s="11"/>
      <c r="J65" s="39"/>
      <c r="K65" s="11"/>
      <c r="L65" s="11"/>
      <c r="M65" s="11"/>
      <c r="N65" s="11"/>
      <c r="O65" s="11"/>
      <c r="P65" s="40"/>
      <c r="Q65" s="11"/>
      <c r="R65" s="12"/>
    </row>
    <row r="66" spans="2:18" s="2" customFormat="1" ht="14.25" customHeight="1">
      <c r="B66" s="10"/>
      <c r="C66" s="11"/>
      <c r="D66" s="39"/>
      <c r="E66" s="11"/>
      <c r="F66" s="11"/>
      <c r="G66" s="11"/>
      <c r="H66" s="40"/>
      <c r="I66" s="11"/>
      <c r="J66" s="39"/>
      <c r="K66" s="11"/>
      <c r="L66" s="11"/>
      <c r="M66" s="11"/>
      <c r="N66" s="11"/>
      <c r="O66" s="11"/>
      <c r="P66" s="40"/>
      <c r="Q66" s="11"/>
      <c r="R66" s="12"/>
    </row>
    <row r="67" spans="2:18" s="2" customFormat="1" ht="14.25" customHeight="1">
      <c r="B67" s="10"/>
      <c r="C67" s="11"/>
      <c r="D67" s="39"/>
      <c r="E67" s="11"/>
      <c r="F67" s="11"/>
      <c r="G67" s="11"/>
      <c r="H67" s="40"/>
      <c r="I67" s="11"/>
      <c r="J67" s="39"/>
      <c r="K67" s="11"/>
      <c r="L67" s="11"/>
      <c r="M67" s="11"/>
      <c r="N67" s="11"/>
      <c r="O67" s="11"/>
      <c r="P67" s="40"/>
      <c r="Q67" s="11"/>
      <c r="R67" s="12"/>
    </row>
    <row r="68" spans="2:18" s="2" customFormat="1" ht="14.25" customHeight="1">
      <c r="B68" s="10"/>
      <c r="C68" s="11"/>
      <c r="D68" s="39"/>
      <c r="E68" s="11"/>
      <c r="F68" s="11"/>
      <c r="G68" s="11"/>
      <c r="H68" s="40"/>
      <c r="I68" s="11"/>
      <c r="J68" s="39"/>
      <c r="K68" s="11"/>
      <c r="L68" s="11"/>
      <c r="M68" s="11"/>
      <c r="N68" s="11"/>
      <c r="O68" s="11"/>
      <c r="P68" s="40"/>
      <c r="Q68" s="11"/>
      <c r="R68" s="12"/>
    </row>
    <row r="69" spans="2:18" s="2" customFormat="1" ht="14.25" customHeight="1">
      <c r="B69" s="10"/>
      <c r="C69" s="11"/>
      <c r="D69" s="39"/>
      <c r="E69" s="11"/>
      <c r="F69" s="11"/>
      <c r="G69" s="11"/>
      <c r="H69" s="40"/>
      <c r="I69" s="11"/>
      <c r="J69" s="39"/>
      <c r="K69" s="11"/>
      <c r="L69" s="11"/>
      <c r="M69" s="11"/>
      <c r="N69" s="11"/>
      <c r="O69" s="11"/>
      <c r="P69" s="40"/>
      <c r="Q69" s="11"/>
      <c r="R69" s="12"/>
    </row>
    <row r="70" spans="2:18" s="6" customFormat="1" ht="15.75" customHeight="1">
      <c r="B70" s="22"/>
      <c r="C70" s="23"/>
      <c r="D70" s="41" t="s">
        <v>49</v>
      </c>
      <c r="E70" s="42"/>
      <c r="F70" s="42"/>
      <c r="G70" s="43" t="s">
        <v>50</v>
      </c>
      <c r="H70" s="44"/>
      <c r="I70" s="23"/>
      <c r="J70" s="41" t="s">
        <v>49</v>
      </c>
      <c r="K70" s="42"/>
      <c r="L70" s="42"/>
      <c r="M70" s="42"/>
      <c r="N70" s="43" t="s">
        <v>50</v>
      </c>
      <c r="O70" s="42"/>
      <c r="P70" s="44"/>
      <c r="Q70" s="23"/>
      <c r="R70" s="24"/>
    </row>
    <row r="71" spans="2:18" s="6" customFormat="1" ht="15" customHeight="1">
      <c r="B71" s="45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7"/>
    </row>
    <row r="72" ht="14.25" customHeight="1">
      <c r="N72" s="1"/>
    </row>
    <row r="73" ht="14.25" customHeight="1">
      <c r="N73" s="1"/>
    </row>
    <row r="74" ht="14.25" customHeight="1">
      <c r="N74" s="1"/>
    </row>
    <row r="75" spans="2:18" s="6" customFormat="1" ht="7.5" customHeight="1">
      <c r="B75" s="94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6"/>
    </row>
    <row r="76" spans="2:21" s="6" customFormat="1" ht="37.5" customHeight="1">
      <c r="B76" s="22"/>
      <c r="C76" s="161" t="s">
        <v>121</v>
      </c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24"/>
      <c r="T76" s="23"/>
      <c r="U76" s="23"/>
    </row>
    <row r="77" spans="2:21" s="6" customFormat="1" ht="7.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4"/>
      <c r="T77" s="23"/>
      <c r="U77" s="23"/>
    </row>
    <row r="78" spans="2:21" s="6" customFormat="1" ht="15" customHeight="1">
      <c r="B78" s="22"/>
      <c r="C78" s="15" t="s">
        <v>14</v>
      </c>
      <c r="D78" s="23"/>
      <c r="E78" s="23"/>
      <c r="F78" s="166" t="str">
        <f>$F$6</f>
        <v>sku6 - Oprava fasády domu a částečná výměna oken Tavičská 34</v>
      </c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23"/>
      <c r="R78" s="24"/>
      <c r="T78" s="23"/>
      <c r="U78" s="23"/>
    </row>
    <row r="79" spans="2:21" s="6" customFormat="1" ht="7.5" customHeight="1">
      <c r="B79" s="22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  <c r="T79" s="23"/>
      <c r="U79" s="23"/>
    </row>
    <row r="80" spans="2:21" s="6" customFormat="1" ht="18.75" customHeight="1">
      <c r="B80" s="22"/>
      <c r="C80" s="16" t="s">
        <v>18</v>
      </c>
      <c r="D80" s="23"/>
      <c r="E80" s="23"/>
      <c r="F80" s="17" t="str">
        <f>$F$8</f>
        <v>Ostrava</v>
      </c>
      <c r="G80" s="23"/>
      <c r="H80" s="23"/>
      <c r="I80" s="23"/>
      <c r="J80" s="23"/>
      <c r="K80" s="16" t="s">
        <v>20</v>
      </c>
      <c r="L80" s="23"/>
      <c r="M80" s="202" t="str">
        <f>IF($O$8="","",$O$8)</f>
        <v>21.08.2012</v>
      </c>
      <c r="N80" s="178"/>
      <c r="O80" s="178"/>
      <c r="P80" s="178"/>
      <c r="Q80" s="23"/>
      <c r="R80" s="24"/>
      <c r="T80" s="23"/>
      <c r="U80" s="23"/>
    </row>
    <row r="81" spans="2:21" s="6" customFormat="1" ht="7.5" customHeight="1">
      <c r="B81" s="22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  <c r="T81" s="23"/>
      <c r="U81" s="23"/>
    </row>
    <row r="82" spans="2:21" s="6" customFormat="1" ht="15.75" customHeight="1">
      <c r="B82" s="22"/>
      <c r="C82" s="16" t="s">
        <v>24</v>
      </c>
      <c r="D82" s="23"/>
      <c r="E82" s="23"/>
      <c r="F82" s="17" t="str">
        <f>$E$11</f>
        <v>SMO Městský obvod Vítkovice,Mírové náměstí 1</v>
      </c>
      <c r="G82" s="23"/>
      <c r="H82" s="23"/>
      <c r="I82" s="23"/>
      <c r="J82" s="23"/>
      <c r="K82" s="16" t="s">
        <v>30</v>
      </c>
      <c r="L82" s="23"/>
      <c r="M82" s="179" t="str">
        <f>$E$17</f>
        <v>VS PROJEKT s.r.o.,Na Obvodu 45,703 00 Ostrava</v>
      </c>
      <c r="N82" s="178"/>
      <c r="O82" s="178"/>
      <c r="P82" s="178"/>
      <c r="Q82" s="178"/>
      <c r="R82" s="24"/>
      <c r="T82" s="23"/>
      <c r="U82" s="23"/>
    </row>
    <row r="83" spans="2:21" s="6" customFormat="1" ht="15" customHeight="1">
      <c r="B83" s="22"/>
      <c r="C83" s="16" t="s">
        <v>28</v>
      </c>
      <c r="D83" s="23"/>
      <c r="E83" s="23"/>
      <c r="F83" s="17" t="str">
        <f>IF($E$14="","",$E$14)</f>
        <v>Vyplň údaj</v>
      </c>
      <c r="G83" s="23"/>
      <c r="H83" s="23"/>
      <c r="I83" s="23"/>
      <c r="J83" s="23"/>
      <c r="K83" s="16" t="s">
        <v>32</v>
      </c>
      <c r="L83" s="23"/>
      <c r="M83" s="179" t="str">
        <f>$E$20</f>
        <v>Beránek</v>
      </c>
      <c r="N83" s="178"/>
      <c r="O83" s="178"/>
      <c r="P83" s="178"/>
      <c r="Q83" s="178"/>
      <c r="R83" s="24"/>
      <c r="T83" s="23"/>
      <c r="U83" s="23"/>
    </row>
    <row r="84" spans="2:21" s="6" customFormat="1" ht="11.25" customHeight="1">
      <c r="B84" s="22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  <c r="T84" s="23"/>
      <c r="U84" s="23"/>
    </row>
    <row r="85" spans="2:21" s="6" customFormat="1" ht="30" customHeight="1">
      <c r="B85" s="22"/>
      <c r="C85" s="203" t="s">
        <v>122</v>
      </c>
      <c r="D85" s="194"/>
      <c r="E85" s="194"/>
      <c r="F85" s="194"/>
      <c r="G85" s="194"/>
      <c r="H85" s="32"/>
      <c r="I85" s="32"/>
      <c r="J85" s="32"/>
      <c r="K85" s="32"/>
      <c r="L85" s="32"/>
      <c r="M85" s="32"/>
      <c r="N85" s="203" t="s">
        <v>123</v>
      </c>
      <c r="O85" s="178"/>
      <c r="P85" s="178"/>
      <c r="Q85" s="178"/>
      <c r="R85" s="24"/>
      <c r="T85" s="23"/>
      <c r="U85" s="23"/>
    </row>
    <row r="86" spans="2:21" s="6" customFormat="1" ht="11.25" customHeight="1">
      <c r="B86" s="22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4"/>
      <c r="T86" s="23"/>
      <c r="U86" s="23"/>
    </row>
    <row r="87" spans="2:47" s="6" customFormat="1" ht="30" customHeight="1">
      <c r="B87" s="22"/>
      <c r="C87" s="65" t="s">
        <v>124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196">
        <f>ROUNDUP($N$134,2)</f>
        <v>0</v>
      </c>
      <c r="O87" s="178"/>
      <c r="P87" s="178"/>
      <c r="Q87" s="178"/>
      <c r="R87" s="24"/>
      <c r="T87" s="23"/>
      <c r="U87" s="23"/>
      <c r="AU87" s="6" t="s">
        <v>125</v>
      </c>
    </row>
    <row r="88" spans="2:21" s="97" customFormat="1" ht="25.5" customHeight="1">
      <c r="B88" s="98"/>
      <c r="C88" s="99"/>
      <c r="D88" s="99" t="s">
        <v>126</v>
      </c>
      <c r="E88" s="99"/>
      <c r="F88" s="99"/>
      <c r="G88" s="99"/>
      <c r="H88" s="99"/>
      <c r="I88" s="99"/>
      <c r="J88" s="99"/>
      <c r="K88" s="99"/>
      <c r="L88" s="99"/>
      <c r="M88" s="99"/>
      <c r="N88" s="204">
        <f>ROUNDUP($N$135,2)</f>
        <v>0</v>
      </c>
      <c r="O88" s="205"/>
      <c r="P88" s="205"/>
      <c r="Q88" s="205"/>
      <c r="R88" s="100"/>
      <c r="T88" s="99"/>
      <c r="U88" s="99"/>
    </row>
    <row r="89" spans="2:21" s="101" customFormat="1" ht="21" customHeight="1">
      <c r="B89" s="102"/>
      <c r="C89" s="78"/>
      <c r="D89" s="78" t="s">
        <v>127</v>
      </c>
      <c r="E89" s="78"/>
      <c r="F89" s="78"/>
      <c r="G89" s="78"/>
      <c r="H89" s="78"/>
      <c r="I89" s="78"/>
      <c r="J89" s="78"/>
      <c r="K89" s="78"/>
      <c r="L89" s="78"/>
      <c r="M89" s="78"/>
      <c r="N89" s="191">
        <f>ROUNDUP($N$136,2)</f>
        <v>0</v>
      </c>
      <c r="O89" s="206"/>
      <c r="P89" s="206"/>
      <c r="Q89" s="206"/>
      <c r="R89" s="103"/>
      <c r="T89" s="78"/>
      <c r="U89" s="78"/>
    </row>
    <row r="90" spans="2:21" s="101" customFormat="1" ht="21" customHeight="1">
      <c r="B90" s="102"/>
      <c r="C90" s="78"/>
      <c r="D90" s="78" t="s">
        <v>128</v>
      </c>
      <c r="E90" s="78"/>
      <c r="F90" s="78"/>
      <c r="G90" s="78"/>
      <c r="H90" s="78"/>
      <c r="I90" s="78"/>
      <c r="J90" s="78"/>
      <c r="K90" s="78"/>
      <c r="L90" s="78"/>
      <c r="M90" s="78"/>
      <c r="N90" s="191">
        <f>ROUNDUP($N$147,2)</f>
        <v>0</v>
      </c>
      <c r="O90" s="206"/>
      <c r="P90" s="206"/>
      <c r="Q90" s="206"/>
      <c r="R90" s="103"/>
      <c r="T90" s="78"/>
      <c r="U90" s="78"/>
    </row>
    <row r="91" spans="2:21" s="101" customFormat="1" ht="21" customHeight="1">
      <c r="B91" s="102"/>
      <c r="C91" s="78"/>
      <c r="D91" s="78" t="s">
        <v>129</v>
      </c>
      <c r="E91" s="78"/>
      <c r="F91" s="78"/>
      <c r="G91" s="78"/>
      <c r="H91" s="78"/>
      <c r="I91" s="78"/>
      <c r="J91" s="78"/>
      <c r="K91" s="78"/>
      <c r="L91" s="78"/>
      <c r="M91" s="78"/>
      <c r="N91" s="191">
        <f>ROUNDUP($N$152,2)</f>
        <v>0</v>
      </c>
      <c r="O91" s="206"/>
      <c r="P91" s="206"/>
      <c r="Q91" s="206"/>
      <c r="R91" s="103"/>
      <c r="T91" s="78"/>
      <c r="U91" s="78"/>
    </row>
    <row r="92" spans="2:21" s="101" customFormat="1" ht="21" customHeight="1">
      <c r="B92" s="102"/>
      <c r="C92" s="78"/>
      <c r="D92" s="78" t="s">
        <v>130</v>
      </c>
      <c r="E92" s="78"/>
      <c r="F92" s="78"/>
      <c r="G92" s="78"/>
      <c r="H92" s="78"/>
      <c r="I92" s="78"/>
      <c r="J92" s="78"/>
      <c r="K92" s="78"/>
      <c r="L92" s="78"/>
      <c r="M92" s="78"/>
      <c r="N92" s="191">
        <f>ROUNDUP($N$157,2)</f>
        <v>0</v>
      </c>
      <c r="O92" s="206"/>
      <c r="P92" s="206"/>
      <c r="Q92" s="206"/>
      <c r="R92" s="103"/>
      <c r="T92" s="78"/>
      <c r="U92" s="78"/>
    </row>
    <row r="93" spans="2:21" s="101" customFormat="1" ht="21" customHeight="1">
      <c r="B93" s="102"/>
      <c r="C93" s="78"/>
      <c r="D93" s="78" t="s">
        <v>131</v>
      </c>
      <c r="E93" s="78"/>
      <c r="F93" s="78"/>
      <c r="G93" s="78"/>
      <c r="H93" s="78"/>
      <c r="I93" s="78"/>
      <c r="J93" s="78"/>
      <c r="K93" s="78"/>
      <c r="L93" s="78"/>
      <c r="M93" s="78"/>
      <c r="N93" s="191">
        <f>ROUNDUP($N$161,2)</f>
        <v>0</v>
      </c>
      <c r="O93" s="206"/>
      <c r="P93" s="206"/>
      <c r="Q93" s="206"/>
      <c r="R93" s="103"/>
      <c r="T93" s="78"/>
      <c r="U93" s="78"/>
    </row>
    <row r="94" spans="2:21" s="101" customFormat="1" ht="21" customHeight="1">
      <c r="B94" s="102"/>
      <c r="C94" s="78"/>
      <c r="D94" s="78" t="s">
        <v>132</v>
      </c>
      <c r="E94" s="78"/>
      <c r="F94" s="78"/>
      <c r="G94" s="78"/>
      <c r="H94" s="78"/>
      <c r="I94" s="78"/>
      <c r="J94" s="78"/>
      <c r="K94" s="78"/>
      <c r="L94" s="78"/>
      <c r="M94" s="78"/>
      <c r="N94" s="191">
        <f>ROUNDUP($N$200,2)</f>
        <v>0</v>
      </c>
      <c r="O94" s="206"/>
      <c r="P94" s="206"/>
      <c r="Q94" s="206"/>
      <c r="R94" s="103"/>
      <c r="T94" s="78"/>
      <c r="U94" s="78"/>
    </row>
    <row r="95" spans="2:21" s="101" customFormat="1" ht="15.75" customHeight="1">
      <c r="B95" s="102"/>
      <c r="C95" s="78"/>
      <c r="D95" s="78" t="s">
        <v>133</v>
      </c>
      <c r="E95" s="78"/>
      <c r="F95" s="78"/>
      <c r="G95" s="78"/>
      <c r="H95" s="78"/>
      <c r="I95" s="78"/>
      <c r="J95" s="78"/>
      <c r="K95" s="78"/>
      <c r="L95" s="78"/>
      <c r="M95" s="78"/>
      <c r="N95" s="191">
        <f>ROUNDUP($N$228,2)</f>
        <v>0</v>
      </c>
      <c r="O95" s="206"/>
      <c r="P95" s="206"/>
      <c r="Q95" s="206"/>
      <c r="R95" s="103"/>
      <c r="T95" s="78"/>
      <c r="U95" s="78"/>
    </row>
    <row r="96" spans="2:21" s="97" customFormat="1" ht="25.5" customHeight="1">
      <c r="B96" s="98"/>
      <c r="C96" s="99"/>
      <c r="D96" s="99" t="s">
        <v>134</v>
      </c>
      <c r="E96" s="99"/>
      <c r="F96" s="99"/>
      <c r="G96" s="99"/>
      <c r="H96" s="99"/>
      <c r="I96" s="99"/>
      <c r="J96" s="99"/>
      <c r="K96" s="99"/>
      <c r="L96" s="99"/>
      <c r="M96" s="99"/>
      <c r="N96" s="204">
        <f>ROUNDUP($N$230,2)</f>
        <v>0</v>
      </c>
      <c r="O96" s="205"/>
      <c r="P96" s="205"/>
      <c r="Q96" s="205"/>
      <c r="R96" s="100"/>
      <c r="T96" s="99"/>
      <c r="U96" s="99"/>
    </row>
    <row r="97" spans="2:21" s="101" customFormat="1" ht="21" customHeight="1">
      <c r="B97" s="102"/>
      <c r="C97" s="78"/>
      <c r="D97" s="78" t="s">
        <v>135</v>
      </c>
      <c r="E97" s="78"/>
      <c r="F97" s="78"/>
      <c r="G97" s="78"/>
      <c r="H97" s="78"/>
      <c r="I97" s="78"/>
      <c r="J97" s="78"/>
      <c r="K97" s="78"/>
      <c r="L97" s="78"/>
      <c r="M97" s="78"/>
      <c r="N97" s="191">
        <f>ROUNDUP($N$231,2)</f>
        <v>0</v>
      </c>
      <c r="O97" s="206"/>
      <c r="P97" s="206"/>
      <c r="Q97" s="206"/>
      <c r="R97" s="103"/>
      <c r="T97" s="78"/>
      <c r="U97" s="78"/>
    </row>
    <row r="98" spans="2:21" s="101" customFormat="1" ht="21" customHeight="1">
      <c r="B98" s="102"/>
      <c r="C98" s="78"/>
      <c r="D98" s="78" t="s">
        <v>136</v>
      </c>
      <c r="E98" s="78"/>
      <c r="F98" s="78"/>
      <c r="G98" s="78"/>
      <c r="H98" s="78"/>
      <c r="I98" s="78"/>
      <c r="J98" s="78"/>
      <c r="K98" s="78"/>
      <c r="L98" s="78"/>
      <c r="M98" s="78"/>
      <c r="N98" s="191">
        <f>ROUNDUP($N$247,2)</f>
        <v>0</v>
      </c>
      <c r="O98" s="206"/>
      <c r="P98" s="206"/>
      <c r="Q98" s="206"/>
      <c r="R98" s="103"/>
      <c r="T98" s="78"/>
      <c r="U98" s="78"/>
    </row>
    <row r="99" spans="2:21" s="101" customFormat="1" ht="21" customHeight="1">
      <c r="B99" s="102"/>
      <c r="C99" s="78"/>
      <c r="D99" s="78" t="s">
        <v>137</v>
      </c>
      <c r="E99" s="78"/>
      <c r="F99" s="78"/>
      <c r="G99" s="78"/>
      <c r="H99" s="78"/>
      <c r="I99" s="78"/>
      <c r="J99" s="78"/>
      <c r="K99" s="78"/>
      <c r="L99" s="78"/>
      <c r="M99" s="78"/>
      <c r="N99" s="191">
        <f>ROUNDUP($N$252,2)</f>
        <v>0</v>
      </c>
      <c r="O99" s="206"/>
      <c r="P99" s="206"/>
      <c r="Q99" s="206"/>
      <c r="R99" s="103"/>
      <c r="T99" s="78"/>
      <c r="U99" s="78"/>
    </row>
    <row r="100" spans="2:21" s="101" customFormat="1" ht="21" customHeight="1">
      <c r="B100" s="102"/>
      <c r="C100" s="78"/>
      <c r="D100" s="78" t="s">
        <v>138</v>
      </c>
      <c r="E100" s="78"/>
      <c r="F100" s="78"/>
      <c r="G100" s="78"/>
      <c r="H100" s="78"/>
      <c r="I100" s="78"/>
      <c r="J100" s="78"/>
      <c r="K100" s="78"/>
      <c r="L100" s="78"/>
      <c r="M100" s="78"/>
      <c r="N100" s="191">
        <f>ROUNDUP($N$256,2)</f>
        <v>0</v>
      </c>
      <c r="O100" s="206"/>
      <c r="P100" s="206"/>
      <c r="Q100" s="206"/>
      <c r="R100" s="103"/>
      <c r="T100" s="78"/>
      <c r="U100" s="78"/>
    </row>
    <row r="101" spans="2:21" s="101" customFormat="1" ht="21" customHeight="1">
      <c r="B101" s="102"/>
      <c r="C101" s="78"/>
      <c r="D101" s="78" t="s">
        <v>139</v>
      </c>
      <c r="E101" s="78"/>
      <c r="F101" s="78"/>
      <c r="G101" s="78"/>
      <c r="H101" s="78"/>
      <c r="I101" s="78"/>
      <c r="J101" s="78"/>
      <c r="K101" s="78"/>
      <c r="L101" s="78"/>
      <c r="M101" s="78"/>
      <c r="N101" s="191">
        <f>ROUNDUP($N$262,2)</f>
        <v>0</v>
      </c>
      <c r="O101" s="206"/>
      <c r="P101" s="206"/>
      <c r="Q101" s="206"/>
      <c r="R101" s="103"/>
      <c r="T101" s="78"/>
      <c r="U101" s="78"/>
    </row>
    <row r="102" spans="2:21" s="101" customFormat="1" ht="21" customHeight="1">
      <c r="B102" s="102"/>
      <c r="C102" s="78"/>
      <c r="D102" s="78" t="s">
        <v>140</v>
      </c>
      <c r="E102" s="78"/>
      <c r="F102" s="78"/>
      <c r="G102" s="78"/>
      <c r="H102" s="78"/>
      <c r="I102" s="78"/>
      <c r="J102" s="78"/>
      <c r="K102" s="78"/>
      <c r="L102" s="78"/>
      <c r="M102" s="78"/>
      <c r="N102" s="191">
        <f>ROUNDUP($N$296,2)</f>
        <v>0</v>
      </c>
      <c r="O102" s="206"/>
      <c r="P102" s="206"/>
      <c r="Q102" s="206"/>
      <c r="R102" s="103"/>
      <c r="T102" s="78"/>
      <c r="U102" s="78"/>
    </row>
    <row r="103" spans="2:21" s="101" customFormat="1" ht="21" customHeight="1">
      <c r="B103" s="102"/>
      <c r="C103" s="78"/>
      <c r="D103" s="78" t="s">
        <v>141</v>
      </c>
      <c r="E103" s="78"/>
      <c r="F103" s="78"/>
      <c r="G103" s="78"/>
      <c r="H103" s="78"/>
      <c r="I103" s="78"/>
      <c r="J103" s="78"/>
      <c r="K103" s="78"/>
      <c r="L103" s="78"/>
      <c r="M103" s="78"/>
      <c r="N103" s="191">
        <f>ROUNDUP($N$316,2)</f>
        <v>0</v>
      </c>
      <c r="O103" s="206"/>
      <c r="P103" s="206"/>
      <c r="Q103" s="206"/>
      <c r="R103" s="103"/>
      <c r="T103" s="78"/>
      <c r="U103" s="78"/>
    </row>
    <row r="104" spans="2:21" s="101" customFormat="1" ht="21" customHeight="1">
      <c r="B104" s="102"/>
      <c r="C104" s="78"/>
      <c r="D104" s="78" t="s">
        <v>142</v>
      </c>
      <c r="E104" s="78"/>
      <c r="F104" s="78"/>
      <c r="G104" s="78"/>
      <c r="H104" s="78"/>
      <c r="I104" s="78"/>
      <c r="J104" s="78"/>
      <c r="K104" s="78"/>
      <c r="L104" s="78"/>
      <c r="M104" s="78"/>
      <c r="N104" s="191">
        <f>ROUNDUP($N$325,2)</f>
        <v>0</v>
      </c>
      <c r="O104" s="206"/>
      <c r="P104" s="206"/>
      <c r="Q104" s="206"/>
      <c r="R104" s="103"/>
      <c r="T104" s="78"/>
      <c r="U104" s="78"/>
    </row>
    <row r="105" spans="2:21" s="101" customFormat="1" ht="21" customHeight="1">
      <c r="B105" s="102"/>
      <c r="C105" s="78"/>
      <c r="D105" s="78" t="s">
        <v>143</v>
      </c>
      <c r="E105" s="78"/>
      <c r="F105" s="78"/>
      <c r="G105" s="78"/>
      <c r="H105" s="78"/>
      <c r="I105" s="78"/>
      <c r="J105" s="78"/>
      <c r="K105" s="78"/>
      <c r="L105" s="78"/>
      <c r="M105" s="78"/>
      <c r="N105" s="191">
        <f>ROUNDUP($N$331,2)</f>
        <v>0</v>
      </c>
      <c r="O105" s="206"/>
      <c r="P105" s="206"/>
      <c r="Q105" s="206"/>
      <c r="R105" s="103"/>
      <c r="T105" s="78"/>
      <c r="U105" s="78"/>
    </row>
    <row r="106" spans="2:21" s="97" customFormat="1" ht="25.5" customHeight="1">
      <c r="B106" s="98"/>
      <c r="C106" s="99"/>
      <c r="D106" s="99" t="s">
        <v>144</v>
      </c>
      <c r="E106" s="99"/>
      <c r="F106" s="99"/>
      <c r="G106" s="99"/>
      <c r="H106" s="99"/>
      <c r="I106" s="99"/>
      <c r="J106" s="99"/>
      <c r="K106" s="99"/>
      <c r="L106" s="99"/>
      <c r="M106" s="99"/>
      <c r="N106" s="204">
        <f>ROUNDUP($N$334,2)</f>
        <v>0</v>
      </c>
      <c r="O106" s="205"/>
      <c r="P106" s="205"/>
      <c r="Q106" s="205"/>
      <c r="R106" s="100"/>
      <c r="T106" s="99"/>
      <c r="U106" s="99"/>
    </row>
    <row r="107" spans="2:21" s="101" customFormat="1" ht="21" customHeight="1">
      <c r="B107" s="102"/>
      <c r="C107" s="78"/>
      <c r="D107" s="78" t="s">
        <v>145</v>
      </c>
      <c r="E107" s="78"/>
      <c r="F107" s="78"/>
      <c r="G107" s="78"/>
      <c r="H107" s="78"/>
      <c r="I107" s="78"/>
      <c r="J107" s="78"/>
      <c r="K107" s="78"/>
      <c r="L107" s="78"/>
      <c r="M107" s="78"/>
      <c r="N107" s="191">
        <f>ROUNDUP($N$335,2)</f>
        <v>0</v>
      </c>
      <c r="O107" s="206"/>
      <c r="P107" s="206"/>
      <c r="Q107" s="206"/>
      <c r="R107" s="103"/>
      <c r="T107" s="78"/>
      <c r="U107" s="78"/>
    </row>
    <row r="108" spans="2:21" s="101" customFormat="1" ht="21" customHeight="1">
      <c r="B108" s="102"/>
      <c r="C108" s="78"/>
      <c r="D108" s="78" t="s">
        <v>146</v>
      </c>
      <c r="E108" s="78"/>
      <c r="F108" s="78"/>
      <c r="G108" s="78"/>
      <c r="H108" s="78"/>
      <c r="I108" s="78"/>
      <c r="J108" s="78"/>
      <c r="K108" s="78"/>
      <c r="L108" s="78"/>
      <c r="M108" s="78"/>
      <c r="N108" s="191">
        <f>ROUNDUP($N$349,2)</f>
        <v>0</v>
      </c>
      <c r="O108" s="206"/>
      <c r="P108" s="206"/>
      <c r="Q108" s="206"/>
      <c r="R108" s="103"/>
      <c r="T108" s="78"/>
      <c r="U108" s="78"/>
    </row>
    <row r="109" spans="2:21" s="6" customFormat="1" ht="22.5" customHeight="1">
      <c r="B109" s="22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T109" s="23"/>
      <c r="U109" s="23"/>
    </row>
    <row r="110" spans="2:21" s="6" customFormat="1" ht="30" customHeight="1">
      <c r="B110" s="22"/>
      <c r="C110" s="65" t="s">
        <v>147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196">
        <f>ROUNDUP($N$111+$N$112+$N$113+$N$114+$N$115+$N$116,2)</f>
        <v>0</v>
      </c>
      <c r="O110" s="178"/>
      <c r="P110" s="178"/>
      <c r="Q110" s="178"/>
      <c r="R110" s="24"/>
      <c r="T110" s="104" t="s">
        <v>81</v>
      </c>
      <c r="U110" s="105" t="s">
        <v>37</v>
      </c>
    </row>
    <row r="111" spans="2:62" s="6" customFormat="1" ht="18.75" customHeight="1">
      <c r="B111" s="22"/>
      <c r="C111" s="23"/>
      <c r="D111" s="192" t="s">
        <v>148</v>
      </c>
      <c r="E111" s="178"/>
      <c r="F111" s="178"/>
      <c r="G111" s="178"/>
      <c r="H111" s="178"/>
      <c r="I111" s="171">
        <f>IF($N$87&gt;0,$N$111/$N$87,0)</f>
        <v>0</v>
      </c>
      <c r="J111" s="178"/>
      <c r="K111" s="28" t="s">
        <v>149</v>
      </c>
      <c r="L111" s="23"/>
      <c r="M111" s="23"/>
      <c r="N111" s="190">
        <f>ROUNDUP($N$87*$T$111,2)</f>
        <v>0</v>
      </c>
      <c r="O111" s="178"/>
      <c r="P111" s="178"/>
      <c r="Q111" s="178"/>
      <c r="R111" s="24"/>
      <c r="T111" s="106">
        <v>0</v>
      </c>
      <c r="U111" s="107" t="s">
        <v>40</v>
      </c>
      <c r="AY111" s="6" t="s">
        <v>150</v>
      </c>
      <c r="BE111" s="82">
        <f>IF($U$111="základní",$N$111,0)</f>
        <v>0</v>
      </c>
      <c r="BF111" s="82">
        <f>IF($U$111="snížená",$N$111,0)</f>
        <v>0</v>
      </c>
      <c r="BG111" s="82">
        <f>IF($U$111="zákl. přenesena",$N$111,0)</f>
        <v>0</v>
      </c>
      <c r="BH111" s="82">
        <f>IF($U$111="sníž. přenesena",$N$111,0)</f>
        <v>0</v>
      </c>
      <c r="BI111" s="82">
        <f>IF($U$111="nulová",$N$111,0)</f>
        <v>0</v>
      </c>
      <c r="BJ111" s="6" t="s">
        <v>103</v>
      </c>
    </row>
    <row r="112" spans="2:62" s="6" customFormat="1" ht="18.75" customHeight="1">
      <c r="B112" s="22"/>
      <c r="C112" s="23"/>
      <c r="D112" s="192" t="s">
        <v>151</v>
      </c>
      <c r="E112" s="178"/>
      <c r="F112" s="178"/>
      <c r="G112" s="178"/>
      <c r="H112" s="178"/>
      <c r="I112" s="171">
        <f>IF($N$87&gt;0,$N$112/$N$87,0)</f>
        <v>0</v>
      </c>
      <c r="J112" s="178"/>
      <c r="K112" s="28" t="s">
        <v>149</v>
      </c>
      <c r="L112" s="23"/>
      <c r="M112" s="23"/>
      <c r="N112" s="190">
        <f>ROUNDUP($N$87*$T$112,2)</f>
        <v>0</v>
      </c>
      <c r="O112" s="178"/>
      <c r="P112" s="178"/>
      <c r="Q112" s="178"/>
      <c r="R112" s="24"/>
      <c r="T112" s="106">
        <v>0</v>
      </c>
      <c r="U112" s="107" t="s">
        <v>40</v>
      </c>
      <c r="AY112" s="6" t="s">
        <v>150</v>
      </c>
      <c r="BE112" s="82">
        <f>IF($U$112="základní",$N$112,0)</f>
        <v>0</v>
      </c>
      <c r="BF112" s="82">
        <f>IF($U$112="snížená",$N$112,0)</f>
        <v>0</v>
      </c>
      <c r="BG112" s="82">
        <f>IF($U$112="zákl. přenesena",$N$112,0)</f>
        <v>0</v>
      </c>
      <c r="BH112" s="82">
        <f>IF($U$112="sníž. přenesena",$N$112,0)</f>
        <v>0</v>
      </c>
      <c r="BI112" s="82">
        <f>IF($U$112="nulová",$N$112,0)</f>
        <v>0</v>
      </c>
      <c r="BJ112" s="6" t="s">
        <v>103</v>
      </c>
    </row>
    <row r="113" spans="2:62" s="6" customFormat="1" ht="18.75" customHeight="1">
      <c r="B113" s="22"/>
      <c r="C113" s="23"/>
      <c r="D113" s="192" t="s">
        <v>152</v>
      </c>
      <c r="E113" s="178"/>
      <c r="F113" s="178"/>
      <c r="G113" s="178"/>
      <c r="H113" s="178"/>
      <c r="I113" s="171">
        <f>IF($N$87&gt;0,$N$113/$N$87,0)</f>
        <v>0</v>
      </c>
      <c r="J113" s="178"/>
      <c r="K113" s="28" t="s">
        <v>149</v>
      </c>
      <c r="L113" s="23"/>
      <c r="M113" s="23"/>
      <c r="N113" s="190">
        <f>ROUNDUP($N$87*$T$113,2)</f>
        <v>0</v>
      </c>
      <c r="O113" s="178"/>
      <c r="P113" s="178"/>
      <c r="Q113" s="178"/>
      <c r="R113" s="24"/>
      <c r="T113" s="106">
        <v>0</v>
      </c>
      <c r="U113" s="107" t="s">
        <v>40</v>
      </c>
      <c r="AY113" s="6" t="s">
        <v>150</v>
      </c>
      <c r="BE113" s="82">
        <f>IF($U$113="základní",$N$113,0)</f>
        <v>0</v>
      </c>
      <c r="BF113" s="82">
        <f>IF($U$113="snížená",$N$113,0)</f>
        <v>0</v>
      </c>
      <c r="BG113" s="82">
        <f>IF($U$113="zákl. přenesena",$N$113,0)</f>
        <v>0</v>
      </c>
      <c r="BH113" s="82">
        <f>IF($U$113="sníž. přenesena",$N$113,0)</f>
        <v>0</v>
      </c>
      <c r="BI113" s="82">
        <f>IF($U$113="nulová",$N$113,0)</f>
        <v>0</v>
      </c>
      <c r="BJ113" s="6" t="s">
        <v>103</v>
      </c>
    </row>
    <row r="114" spans="2:62" s="6" customFormat="1" ht="18.75" customHeight="1">
      <c r="B114" s="22"/>
      <c r="C114" s="23"/>
      <c r="D114" s="192" t="s">
        <v>153</v>
      </c>
      <c r="E114" s="178"/>
      <c r="F114" s="178"/>
      <c r="G114" s="178"/>
      <c r="H114" s="178"/>
      <c r="I114" s="171">
        <f>IF($N$87&gt;0,$N$114/$N$87,0)</f>
        <v>0</v>
      </c>
      <c r="J114" s="178"/>
      <c r="K114" s="28" t="s">
        <v>149</v>
      </c>
      <c r="L114" s="23"/>
      <c r="M114" s="23"/>
      <c r="N114" s="190">
        <f>ROUNDUP($N$87*$T$114,2)</f>
        <v>0</v>
      </c>
      <c r="O114" s="178"/>
      <c r="P114" s="178"/>
      <c r="Q114" s="178"/>
      <c r="R114" s="24"/>
      <c r="T114" s="106">
        <v>0</v>
      </c>
      <c r="U114" s="107" t="s">
        <v>40</v>
      </c>
      <c r="AY114" s="6" t="s">
        <v>150</v>
      </c>
      <c r="BE114" s="82">
        <f>IF($U$114="základní",$N$114,0)</f>
        <v>0</v>
      </c>
      <c r="BF114" s="82">
        <f>IF($U$114="snížená",$N$114,0)</f>
        <v>0</v>
      </c>
      <c r="BG114" s="82">
        <f>IF($U$114="zákl. přenesena",$N$114,0)</f>
        <v>0</v>
      </c>
      <c r="BH114" s="82">
        <f>IF($U$114="sníž. přenesena",$N$114,0)</f>
        <v>0</v>
      </c>
      <c r="BI114" s="82">
        <f>IF($U$114="nulová",$N$114,0)</f>
        <v>0</v>
      </c>
      <c r="BJ114" s="6" t="s">
        <v>103</v>
      </c>
    </row>
    <row r="115" spans="2:62" s="6" customFormat="1" ht="18.75" customHeight="1">
      <c r="B115" s="22"/>
      <c r="C115" s="23"/>
      <c r="D115" s="192" t="s">
        <v>154</v>
      </c>
      <c r="E115" s="178"/>
      <c r="F115" s="178"/>
      <c r="G115" s="178"/>
      <c r="H115" s="178"/>
      <c r="I115" s="171">
        <f>IF($N$87&gt;0,$N$115/$N$87,0)</f>
        <v>0</v>
      </c>
      <c r="J115" s="178"/>
      <c r="K115" s="28" t="s">
        <v>149</v>
      </c>
      <c r="L115" s="23"/>
      <c r="M115" s="23"/>
      <c r="N115" s="190">
        <f>ROUNDUP($N$87*$T$115,2)</f>
        <v>0</v>
      </c>
      <c r="O115" s="178"/>
      <c r="P115" s="178"/>
      <c r="Q115" s="178"/>
      <c r="R115" s="24"/>
      <c r="T115" s="106">
        <v>0</v>
      </c>
      <c r="U115" s="107" t="s">
        <v>40</v>
      </c>
      <c r="AY115" s="6" t="s">
        <v>150</v>
      </c>
      <c r="BE115" s="82">
        <f>IF($U$115="základní",$N$115,0)</f>
        <v>0</v>
      </c>
      <c r="BF115" s="82">
        <f>IF($U$115="snížená",$N$115,0)</f>
        <v>0</v>
      </c>
      <c r="BG115" s="82">
        <f>IF($U$115="zákl. přenesena",$N$115,0)</f>
        <v>0</v>
      </c>
      <c r="BH115" s="82">
        <f>IF($U$115="sníž. přenesena",$N$115,0)</f>
        <v>0</v>
      </c>
      <c r="BI115" s="82">
        <f>IF($U$115="nulová",$N$115,0)</f>
        <v>0</v>
      </c>
      <c r="BJ115" s="6" t="s">
        <v>103</v>
      </c>
    </row>
    <row r="116" spans="2:62" s="6" customFormat="1" ht="18.75" customHeight="1">
      <c r="B116" s="22"/>
      <c r="C116" s="23"/>
      <c r="D116" s="78" t="s">
        <v>155</v>
      </c>
      <c r="E116" s="23"/>
      <c r="F116" s="23"/>
      <c r="G116" s="23"/>
      <c r="H116" s="23"/>
      <c r="I116" s="171">
        <f>IF($N$87&gt;0,$N$116/$N$87,0)</f>
        <v>0</v>
      </c>
      <c r="J116" s="178"/>
      <c r="K116" s="28" t="s">
        <v>149</v>
      </c>
      <c r="L116" s="23"/>
      <c r="M116" s="23"/>
      <c r="N116" s="190">
        <f>ROUNDUP($N$87*$T$116,2)</f>
        <v>0</v>
      </c>
      <c r="O116" s="178"/>
      <c r="P116" s="178"/>
      <c r="Q116" s="178"/>
      <c r="R116" s="24"/>
      <c r="T116" s="108">
        <v>0</v>
      </c>
      <c r="U116" s="109" t="s">
        <v>40</v>
      </c>
      <c r="AY116" s="6" t="s">
        <v>156</v>
      </c>
      <c r="BE116" s="82">
        <f>IF($U$116="základní",$N$116,0)</f>
        <v>0</v>
      </c>
      <c r="BF116" s="82">
        <f>IF($U$116="snížená",$N$116,0)</f>
        <v>0</v>
      </c>
      <c r="BG116" s="82">
        <f>IF($U$116="zákl. přenesena",$N$116,0)</f>
        <v>0</v>
      </c>
      <c r="BH116" s="82">
        <f>IF($U$116="sníž. přenesena",$N$116,0)</f>
        <v>0</v>
      </c>
      <c r="BI116" s="82">
        <f>IF($U$116="nulová",$N$116,0)</f>
        <v>0</v>
      </c>
      <c r="BJ116" s="6" t="s">
        <v>103</v>
      </c>
    </row>
    <row r="117" spans="2:21" s="6" customFormat="1" ht="14.25" customHeight="1">
      <c r="B117" s="22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T117" s="23"/>
      <c r="U117" s="23"/>
    </row>
    <row r="118" spans="2:21" s="6" customFormat="1" ht="30" customHeight="1">
      <c r="B118" s="22"/>
      <c r="C118" s="89" t="s">
        <v>97</v>
      </c>
      <c r="D118" s="32"/>
      <c r="E118" s="32"/>
      <c r="F118" s="32"/>
      <c r="G118" s="32"/>
      <c r="H118" s="32"/>
      <c r="I118" s="32"/>
      <c r="J118" s="32"/>
      <c r="K118" s="32"/>
      <c r="L118" s="193">
        <f>ROUNDUP(SUM($N$87+$N$110),2)</f>
        <v>0</v>
      </c>
      <c r="M118" s="194"/>
      <c r="N118" s="194"/>
      <c r="O118" s="194"/>
      <c r="P118" s="194"/>
      <c r="Q118" s="194"/>
      <c r="R118" s="24"/>
      <c r="T118" s="23"/>
      <c r="U118" s="23"/>
    </row>
    <row r="119" spans="2:21" s="6" customFormat="1" ht="7.5" customHeight="1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  <c r="T119" s="23"/>
      <c r="U119" s="23"/>
    </row>
    <row r="120" ht="14.25" customHeight="1">
      <c r="N120" s="1"/>
    </row>
    <row r="121" ht="14.25" customHeight="1">
      <c r="N121" s="1"/>
    </row>
    <row r="122" ht="14.25" customHeight="1">
      <c r="N122" s="1"/>
    </row>
    <row r="123" spans="2:18" s="6" customFormat="1" ht="7.5" customHeight="1">
      <c r="B123" s="48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50"/>
    </row>
    <row r="124" spans="2:18" s="6" customFormat="1" ht="37.5" customHeight="1">
      <c r="B124" s="22"/>
      <c r="C124" s="161" t="s">
        <v>157</v>
      </c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24"/>
    </row>
    <row r="125" spans="2:18" s="6" customFormat="1" ht="7.5" customHeight="1">
      <c r="B125" s="22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</row>
    <row r="126" spans="2:18" s="6" customFormat="1" ht="15" customHeight="1">
      <c r="B126" s="22"/>
      <c r="C126" s="15" t="s">
        <v>14</v>
      </c>
      <c r="D126" s="23"/>
      <c r="E126" s="23"/>
      <c r="F126" s="166" t="str">
        <f>$F$6</f>
        <v>sku6 - Oprava fasády domu a částečná výměna oken Tavičská 34</v>
      </c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23"/>
      <c r="R126" s="24"/>
    </row>
    <row r="127" spans="2:18" s="6" customFormat="1" ht="7.5" customHeight="1">
      <c r="B127" s="22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</row>
    <row r="128" spans="2:18" s="6" customFormat="1" ht="18.75" customHeight="1">
      <c r="B128" s="22"/>
      <c r="C128" s="16" t="s">
        <v>18</v>
      </c>
      <c r="D128" s="23"/>
      <c r="E128" s="23"/>
      <c r="F128" s="17" t="str">
        <f>$F$8</f>
        <v>Ostrava</v>
      </c>
      <c r="G128" s="23"/>
      <c r="H128" s="23"/>
      <c r="I128" s="23"/>
      <c r="J128" s="23"/>
      <c r="K128" s="16" t="s">
        <v>20</v>
      </c>
      <c r="L128" s="23"/>
      <c r="M128" s="202" t="str">
        <f>IF($O$8="","",$O$8)</f>
        <v>21.08.2012</v>
      </c>
      <c r="N128" s="178"/>
      <c r="O128" s="178"/>
      <c r="P128" s="178"/>
      <c r="Q128" s="23"/>
      <c r="R128" s="24"/>
    </row>
    <row r="129" spans="2:18" s="6" customFormat="1" ht="7.5" customHeight="1">
      <c r="B129" s="22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</row>
    <row r="130" spans="2:18" s="6" customFormat="1" ht="15.75" customHeight="1">
      <c r="B130" s="22"/>
      <c r="C130" s="16" t="s">
        <v>24</v>
      </c>
      <c r="D130" s="23"/>
      <c r="E130" s="23"/>
      <c r="F130" s="17" t="str">
        <f>$E$11</f>
        <v>SMO Městský obvod Vítkovice,Mírové náměstí 1</v>
      </c>
      <c r="G130" s="23"/>
      <c r="H130" s="23"/>
      <c r="I130" s="23"/>
      <c r="J130" s="23"/>
      <c r="K130" s="16" t="s">
        <v>30</v>
      </c>
      <c r="L130" s="23"/>
      <c r="M130" s="179" t="str">
        <f>$E$17</f>
        <v>VS PROJEKT s.r.o.,Na Obvodu 45,703 00 Ostrava</v>
      </c>
      <c r="N130" s="178"/>
      <c r="O130" s="178"/>
      <c r="P130" s="178"/>
      <c r="Q130" s="178"/>
      <c r="R130" s="24"/>
    </row>
    <row r="131" spans="2:18" s="6" customFormat="1" ht="15" customHeight="1">
      <c r="B131" s="22"/>
      <c r="C131" s="16" t="s">
        <v>28</v>
      </c>
      <c r="D131" s="23"/>
      <c r="E131" s="23"/>
      <c r="F131" s="17" t="str">
        <f>IF($E$14="","",$E$14)</f>
        <v>Vyplň údaj</v>
      </c>
      <c r="G131" s="23"/>
      <c r="H131" s="23"/>
      <c r="I131" s="23"/>
      <c r="J131" s="23"/>
      <c r="K131" s="16" t="s">
        <v>32</v>
      </c>
      <c r="L131" s="23"/>
      <c r="M131" s="179" t="str">
        <f>$E$20</f>
        <v>Beránek</v>
      </c>
      <c r="N131" s="178"/>
      <c r="O131" s="178"/>
      <c r="P131" s="178"/>
      <c r="Q131" s="178"/>
      <c r="R131" s="24"/>
    </row>
    <row r="132" spans="2:18" s="6" customFormat="1" ht="11.25" customHeight="1">
      <c r="B132" s="22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</row>
    <row r="133" spans="2:27" s="110" customFormat="1" ht="30" customHeight="1">
      <c r="B133" s="111"/>
      <c r="C133" s="112" t="s">
        <v>158</v>
      </c>
      <c r="D133" s="113" t="s">
        <v>159</v>
      </c>
      <c r="E133" s="113" t="s">
        <v>55</v>
      </c>
      <c r="F133" s="207" t="s">
        <v>160</v>
      </c>
      <c r="G133" s="208"/>
      <c r="H133" s="208"/>
      <c r="I133" s="208"/>
      <c r="J133" s="113" t="s">
        <v>161</v>
      </c>
      <c r="K133" s="113" t="s">
        <v>162</v>
      </c>
      <c r="L133" s="207" t="s">
        <v>163</v>
      </c>
      <c r="M133" s="208"/>
      <c r="N133" s="207" t="s">
        <v>164</v>
      </c>
      <c r="O133" s="208"/>
      <c r="P133" s="208"/>
      <c r="Q133" s="209"/>
      <c r="R133" s="114"/>
      <c r="T133" s="60" t="s">
        <v>165</v>
      </c>
      <c r="U133" s="61" t="s">
        <v>37</v>
      </c>
      <c r="V133" s="61" t="s">
        <v>166</v>
      </c>
      <c r="W133" s="61" t="s">
        <v>167</v>
      </c>
      <c r="X133" s="61" t="s">
        <v>168</v>
      </c>
      <c r="Y133" s="61" t="s">
        <v>169</v>
      </c>
      <c r="Z133" s="61" t="s">
        <v>170</v>
      </c>
      <c r="AA133" s="62" t="s">
        <v>171</v>
      </c>
    </row>
    <row r="134" spans="2:47" s="6" customFormat="1" ht="30" customHeight="1">
      <c r="B134" s="22"/>
      <c r="C134" s="65" t="s">
        <v>120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18">
        <f>$N$135+$N$230+$N$334+$N$354</f>
        <v>0</v>
      </c>
      <c r="O134" s="178"/>
      <c r="P134" s="178"/>
      <c r="Q134" s="178"/>
      <c r="R134" s="24"/>
      <c r="T134" s="64"/>
      <c r="U134" s="37"/>
      <c r="V134" s="37"/>
      <c r="W134" s="115">
        <f>$W$135+$W$230+$W$334+$W$354</f>
        <v>4550.278114</v>
      </c>
      <c r="X134" s="37"/>
      <c r="Y134" s="115">
        <f>$Y$135+$Y$230+$Y$334+$Y$354</f>
        <v>122.17804347000003</v>
      </c>
      <c r="Z134" s="37"/>
      <c r="AA134" s="116">
        <f>$AA$135+$AA$230+$AA$334+$AA$354</f>
        <v>108.78179899999999</v>
      </c>
      <c r="AT134" s="6" t="s">
        <v>72</v>
      </c>
      <c r="AU134" s="6" t="s">
        <v>125</v>
      </c>
    </row>
    <row r="135" spans="2:51" s="117" customFormat="1" ht="37.5" customHeight="1">
      <c r="B135" s="118"/>
      <c r="C135" s="119"/>
      <c r="D135" s="120" t="s">
        <v>126</v>
      </c>
      <c r="E135" s="119"/>
      <c r="F135" s="119"/>
      <c r="G135" s="119"/>
      <c r="H135" s="119"/>
      <c r="I135" s="119"/>
      <c r="J135" s="119"/>
      <c r="K135" s="119"/>
      <c r="L135" s="119"/>
      <c r="M135" s="119"/>
      <c r="N135" s="219">
        <f>$N$136+$N$147+$N$152+$N$157+$N$161+$N$200</f>
        <v>0</v>
      </c>
      <c r="O135" s="220"/>
      <c r="P135" s="220"/>
      <c r="Q135" s="220"/>
      <c r="R135" s="121"/>
      <c r="T135" s="122"/>
      <c r="U135" s="119"/>
      <c r="V135" s="119"/>
      <c r="W135" s="123">
        <f>$W$136+$W$147+$W$152+$W$157+$W$161+$W$200</f>
        <v>3656.135444</v>
      </c>
      <c r="X135" s="119"/>
      <c r="Y135" s="123">
        <f>$Y$136+$Y$147+$Y$152+$Y$157+$Y$161+$Y$200</f>
        <v>115.67495056000003</v>
      </c>
      <c r="Z135" s="119"/>
      <c r="AA135" s="124">
        <f>$AA$136+$AA$147+$AA$152+$AA$157+$AA$161+$AA$200</f>
        <v>105.441949</v>
      </c>
      <c r="AR135" s="125" t="s">
        <v>17</v>
      </c>
      <c r="AT135" s="125" t="s">
        <v>72</v>
      </c>
      <c r="AU135" s="125" t="s">
        <v>73</v>
      </c>
      <c r="AY135" s="125" t="s">
        <v>172</v>
      </c>
    </row>
    <row r="136" spans="2:51" s="117" customFormat="1" ht="21" customHeight="1">
      <c r="B136" s="118"/>
      <c r="C136" s="119"/>
      <c r="D136" s="126" t="s">
        <v>127</v>
      </c>
      <c r="E136" s="119"/>
      <c r="F136" s="119"/>
      <c r="G136" s="119"/>
      <c r="H136" s="119"/>
      <c r="I136" s="119"/>
      <c r="J136" s="119"/>
      <c r="K136" s="119"/>
      <c r="L136" s="119"/>
      <c r="M136" s="119"/>
      <c r="N136" s="221">
        <f>SUM($N$137:$N$146)</f>
        <v>0</v>
      </c>
      <c r="O136" s="220"/>
      <c r="P136" s="220"/>
      <c r="Q136" s="220"/>
      <c r="R136" s="121"/>
      <c r="T136" s="122"/>
      <c r="U136" s="119"/>
      <c r="V136" s="119"/>
      <c r="W136" s="123">
        <f>SUM($W$137:$W$146)</f>
        <v>33.4392</v>
      </c>
      <c r="X136" s="119"/>
      <c r="Y136" s="123">
        <f>SUM($Y$137:$Y$146)</f>
        <v>5.508</v>
      </c>
      <c r="Z136" s="119"/>
      <c r="AA136" s="124">
        <f>SUM($AA$137:$AA$146)</f>
        <v>5.355</v>
      </c>
      <c r="AR136" s="125" t="s">
        <v>17</v>
      </c>
      <c r="AT136" s="125" t="s">
        <v>72</v>
      </c>
      <c r="AU136" s="125" t="s">
        <v>17</v>
      </c>
      <c r="AY136" s="125" t="s">
        <v>172</v>
      </c>
    </row>
    <row r="137" spans="2:62" s="6" customFormat="1" ht="27" customHeight="1">
      <c r="B137" s="22"/>
      <c r="C137" s="127" t="s">
        <v>17</v>
      </c>
      <c r="D137" s="127" t="s">
        <v>173</v>
      </c>
      <c r="E137" s="128" t="s">
        <v>174</v>
      </c>
      <c r="F137" s="210" t="s">
        <v>175</v>
      </c>
      <c r="G137" s="211"/>
      <c r="H137" s="211"/>
      <c r="I137" s="211"/>
      <c r="J137" s="129" t="s">
        <v>176</v>
      </c>
      <c r="K137" s="130">
        <v>21</v>
      </c>
      <c r="L137" s="212">
        <v>0</v>
      </c>
      <c r="M137" s="211"/>
      <c r="N137" s="213">
        <f>ROUND($L$137*$K$137,2)</f>
        <v>0</v>
      </c>
      <c r="O137" s="211"/>
      <c r="P137" s="211"/>
      <c r="Q137" s="211"/>
      <c r="R137" s="24"/>
      <c r="T137" s="131"/>
      <c r="U137" s="30" t="s">
        <v>40</v>
      </c>
      <c r="V137" s="132">
        <v>0.16</v>
      </c>
      <c r="W137" s="132">
        <f>$V$137*$K$137</f>
        <v>3.36</v>
      </c>
      <c r="X137" s="132">
        <v>0</v>
      </c>
      <c r="Y137" s="132">
        <f>$X$137*$K$137</f>
        <v>0</v>
      </c>
      <c r="Z137" s="132">
        <v>0.255</v>
      </c>
      <c r="AA137" s="133">
        <f>$Z$137*$K$137</f>
        <v>5.355</v>
      </c>
      <c r="AR137" s="6" t="s">
        <v>116</v>
      </c>
      <c r="AT137" s="6" t="s">
        <v>173</v>
      </c>
      <c r="AU137" s="6" t="s">
        <v>103</v>
      </c>
      <c r="AY137" s="6" t="s">
        <v>172</v>
      </c>
      <c r="BE137" s="82">
        <f>IF($U$137="základní",$N$137,0)</f>
        <v>0</v>
      </c>
      <c r="BF137" s="82">
        <f>IF($U$137="snížená",$N$137,0)</f>
        <v>0</v>
      </c>
      <c r="BG137" s="82">
        <f>IF($U$137="zákl. přenesena",$N$137,0)</f>
        <v>0</v>
      </c>
      <c r="BH137" s="82">
        <f>IF($U$137="sníž. přenesena",$N$137,0)</f>
        <v>0</v>
      </c>
      <c r="BI137" s="82">
        <f>IF($U$137="nulová",$N$137,0)</f>
        <v>0</v>
      </c>
      <c r="BJ137" s="6" t="s">
        <v>103</v>
      </c>
    </row>
    <row r="138" spans="2:62" s="6" customFormat="1" ht="27" customHeight="1">
      <c r="B138" s="22"/>
      <c r="C138" s="127" t="s">
        <v>103</v>
      </c>
      <c r="D138" s="127" t="s">
        <v>173</v>
      </c>
      <c r="E138" s="128" t="s">
        <v>177</v>
      </c>
      <c r="F138" s="210" t="s">
        <v>178</v>
      </c>
      <c r="G138" s="211"/>
      <c r="H138" s="211"/>
      <c r="I138" s="211"/>
      <c r="J138" s="129" t="s">
        <v>179</v>
      </c>
      <c r="K138" s="130">
        <v>2.9</v>
      </c>
      <c r="L138" s="212">
        <v>0</v>
      </c>
      <c r="M138" s="211"/>
      <c r="N138" s="213">
        <f>ROUND($L$138*$K$138,2)</f>
        <v>0</v>
      </c>
      <c r="O138" s="211"/>
      <c r="P138" s="211"/>
      <c r="Q138" s="211"/>
      <c r="R138" s="24"/>
      <c r="T138" s="131"/>
      <c r="U138" s="30" t="s">
        <v>40</v>
      </c>
      <c r="V138" s="132">
        <v>4.002</v>
      </c>
      <c r="W138" s="132">
        <f>$V$138*$K$138</f>
        <v>11.605799999999999</v>
      </c>
      <c r="X138" s="132">
        <v>0</v>
      </c>
      <c r="Y138" s="132">
        <f>$X$138*$K$138</f>
        <v>0</v>
      </c>
      <c r="Z138" s="132">
        <v>0</v>
      </c>
      <c r="AA138" s="133">
        <f>$Z$138*$K$138</f>
        <v>0</v>
      </c>
      <c r="AR138" s="6" t="s">
        <v>116</v>
      </c>
      <c r="AT138" s="6" t="s">
        <v>173</v>
      </c>
      <c r="AU138" s="6" t="s">
        <v>103</v>
      </c>
      <c r="AY138" s="6" t="s">
        <v>172</v>
      </c>
      <c r="BE138" s="82">
        <f>IF($U$138="základní",$N$138,0)</f>
        <v>0</v>
      </c>
      <c r="BF138" s="82">
        <f>IF($U$138="snížená",$N$138,0)</f>
        <v>0</v>
      </c>
      <c r="BG138" s="82">
        <f>IF($U$138="zákl. přenesena",$N$138,0)</f>
        <v>0</v>
      </c>
      <c r="BH138" s="82">
        <f>IF($U$138="sníž. přenesena",$N$138,0)</f>
        <v>0</v>
      </c>
      <c r="BI138" s="82">
        <f>IF($U$138="nulová",$N$138,0)</f>
        <v>0</v>
      </c>
      <c r="BJ138" s="6" t="s">
        <v>103</v>
      </c>
    </row>
    <row r="139" spans="2:62" s="6" customFormat="1" ht="27" customHeight="1">
      <c r="B139" s="22"/>
      <c r="C139" s="127" t="s">
        <v>180</v>
      </c>
      <c r="D139" s="127" t="s">
        <v>173</v>
      </c>
      <c r="E139" s="128" t="s">
        <v>181</v>
      </c>
      <c r="F139" s="210" t="s">
        <v>182</v>
      </c>
      <c r="G139" s="211"/>
      <c r="H139" s="211"/>
      <c r="I139" s="211"/>
      <c r="J139" s="129" t="s">
        <v>179</v>
      </c>
      <c r="K139" s="130">
        <v>1.45</v>
      </c>
      <c r="L139" s="212">
        <v>0</v>
      </c>
      <c r="M139" s="211"/>
      <c r="N139" s="213">
        <f>ROUND($L$139*$K$139,2)</f>
        <v>0</v>
      </c>
      <c r="O139" s="211"/>
      <c r="P139" s="211"/>
      <c r="Q139" s="211"/>
      <c r="R139" s="24"/>
      <c r="T139" s="131"/>
      <c r="U139" s="30" t="s">
        <v>40</v>
      </c>
      <c r="V139" s="132">
        <v>0.8</v>
      </c>
      <c r="W139" s="132">
        <f>$V$139*$K$139</f>
        <v>1.16</v>
      </c>
      <c r="X139" s="132">
        <v>0</v>
      </c>
      <c r="Y139" s="132">
        <f>$X$139*$K$139</f>
        <v>0</v>
      </c>
      <c r="Z139" s="132">
        <v>0</v>
      </c>
      <c r="AA139" s="133">
        <f>$Z$139*$K$139</f>
        <v>0</v>
      </c>
      <c r="AR139" s="6" t="s">
        <v>116</v>
      </c>
      <c r="AT139" s="6" t="s">
        <v>173</v>
      </c>
      <c r="AU139" s="6" t="s">
        <v>103</v>
      </c>
      <c r="AY139" s="6" t="s">
        <v>172</v>
      </c>
      <c r="BE139" s="82">
        <f>IF($U$139="základní",$N$139,0)</f>
        <v>0</v>
      </c>
      <c r="BF139" s="82">
        <f>IF($U$139="snížená",$N$139,0)</f>
        <v>0</v>
      </c>
      <c r="BG139" s="82">
        <f>IF($U$139="zákl. přenesena",$N$139,0)</f>
        <v>0</v>
      </c>
      <c r="BH139" s="82">
        <f>IF($U$139="sníž. přenesena",$N$139,0)</f>
        <v>0</v>
      </c>
      <c r="BI139" s="82">
        <f>IF($U$139="nulová",$N$139,0)</f>
        <v>0</v>
      </c>
      <c r="BJ139" s="6" t="s">
        <v>103</v>
      </c>
    </row>
    <row r="140" spans="2:62" s="6" customFormat="1" ht="27" customHeight="1">
      <c r="B140" s="22"/>
      <c r="C140" s="127" t="s">
        <v>116</v>
      </c>
      <c r="D140" s="127" t="s">
        <v>173</v>
      </c>
      <c r="E140" s="128" t="s">
        <v>183</v>
      </c>
      <c r="F140" s="210" t="s">
        <v>184</v>
      </c>
      <c r="G140" s="211"/>
      <c r="H140" s="211"/>
      <c r="I140" s="211"/>
      <c r="J140" s="129" t="s">
        <v>179</v>
      </c>
      <c r="K140" s="130">
        <v>4</v>
      </c>
      <c r="L140" s="212">
        <v>0</v>
      </c>
      <c r="M140" s="211"/>
      <c r="N140" s="213">
        <f>ROUND($L$140*$K$140,2)</f>
        <v>0</v>
      </c>
      <c r="O140" s="211"/>
      <c r="P140" s="211"/>
      <c r="Q140" s="211"/>
      <c r="R140" s="24"/>
      <c r="T140" s="131"/>
      <c r="U140" s="30" t="s">
        <v>40</v>
      </c>
      <c r="V140" s="132">
        <v>3.528</v>
      </c>
      <c r="W140" s="132">
        <f>$V$140*$K$140</f>
        <v>14.112</v>
      </c>
      <c r="X140" s="132">
        <v>0</v>
      </c>
      <c r="Y140" s="132">
        <f>$X$140*$K$140</f>
        <v>0</v>
      </c>
      <c r="Z140" s="132">
        <v>0</v>
      </c>
      <c r="AA140" s="133">
        <f>$Z$140*$K$140</f>
        <v>0</v>
      </c>
      <c r="AR140" s="6" t="s">
        <v>116</v>
      </c>
      <c r="AT140" s="6" t="s">
        <v>173</v>
      </c>
      <c r="AU140" s="6" t="s">
        <v>103</v>
      </c>
      <c r="AY140" s="6" t="s">
        <v>172</v>
      </c>
      <c r="BE140" s="82">
        <f>IF($U$140="základní",$N$140,0)</f>
        <v>0</v>
      </c>
      <c r="BF140" s="82">
        <f>IF($U$140="snížená",$N$140,0)</f>
        <v>0</v>
      </c>
      <c r="BG140" s="82">
        <f>IF($U$140="zákl. přenesena",$N$140,0)</f>
        <v>0</v>
      </c>
      <c r="BH140" s="82">
        <f>IF($U$140="sníž. přenesena",$N$140,0)</f>
        <v>0</v>
      </c>
      <c r="BI140" s="82">
        <f>IF($U$140="nulová",$N$140,0)</f>
        <v>0</v>
      </c>
      <c r="BJ140" s="6" t="s">
        <v>103</v>
      </c>
    </row>
    <row r="141" spans="2:62" s="6" customFormat="1" ht="27" customHeight="1">
      <c r="B141" s="22"/>
      <c r="C141" s="127" t="s">
        <v>185</v>
      </c>
      <c r="D141" s="127" t="s">
        <v>173</v>
      </c>
      <c r="E141" s="128" t="s">
        <v>186</v>
      </c>
      <c r="F141" s="210" t="s">
        <v>187</v>
      </c>
      <c r="G141" s="211"/>
      <c r="H141" s="211"/>
      <c r="I141" s="211"/>
      <c r="J141" s="129" t="s">
        <v>179</v>
      </c>
      <c r="K141" s="130">
        <v>2</v>
      </c>
      <c r="L141" s="212">
        <v>0</v>
      </c>
      <c r="M141" s="211"/>
      <c r="N141" s="213">
        <f>ROUND($L$141*$K$141,2)</f>
        <v>0</v>
      </c>
      <c r="O141" s="211"/>
      <c r="P141" s="211"/>
      <c r="Q141" s="211"/>
      <c r="R141" s="24"/>
      <c r="T141" s="131"/>
      <c r="U141" s="30" t="s">
        <v>40</v>
      </c>
      <c r="V141" s="132">
        <v>0.706</v>
      </c>
      <c r="W141" s="132">
        <f>$V$141*$K$141</f>
        <v>1.412</v>
      </c>
      <c r="X141" s="132">
        <v>0</v>
      </c>
      <c r="Y141" s="132">
        <f>$X$141*$K$141</f>
        <v>0</v>
      </c>
      <c r="Z141" s="132">
        <v>0</v>
      </c>
      <c r="AA141" s="133">
        <f>$Z$141*$K$141</f>
        <v>0</v>
      </c>
      <c r="AR141" s="6" t="s">
        <v>116</v>
      </c>
      <c r="AT141" s="6" t="s">
        <v>173</v>
      </c>
      <c r="AU141" s="6" t="s">
        <v>103</v>
      </c>
      <c r="AY141" s="6" t="s">
        <v>172</v>
      </c>
      <c r="BE141" s="82">
        <f>IF($U$141="základní",$N$141,0)</f>
        <v>0</v>
      </c>
      <c r="BF141" s="82">
        <f>IF($U$141="snížená",$N$141,0)</f>
        <v>0</v>
      </c>
      <c r="BG141" s="82">
        <f>IF($U$141="zákl. přenesena",$N$141,0)</f>
        <v>0</v>
      </c>
      <c r="BH141" s="82">
        <f>IF($U$141="sníž. přenesena",$N$141,0)</f>
        <v>0</v>
      </c>
      <c r="BI141" s="82">
        <f>IF($U$141="nulová",$N$141,0)</f>
        <v>0</v>
      </c>
      <c r="BJ141" s="6" t="s">
        <v>103</v>
      </c>
    </row>
    <row r="142" spans="2:62" s="6" customFormat="1" ht="27" customHeight="1">
      <c r="B142" s="22"/>
      <c r="C142" s="127" t="s">
        <v>188</v>
      </c>
      <c r="D142" s="127" t="s">
        <v>173</v>
      </c>
      <c r="E142" s="128" t="s">
        <v>189</v>
      </c>
      <c r="F142" s="210" t="s">
        <v>190</v>
      </c>
      <c r="G142" s="211"/>
      <c r="H142" s="211"/>
      <c r="I142" s="211"/>
      <c r="J142" s="129" t="s">
        <v>179</v>
      </c>
      <c r="K142" s="130">
        <v>4</v>
      </c>
      <c r="L142" s="212">
        <v>0</v>
      </c>
      <c r="M142" s="211"/>
      <c r="N142" s="213">
        <f>ROUND($L$142*$K$142,2)</f>
        <v>0</v>
      </c>
      <c r="O142" s="211"/>
      <c r="P142" s="211"/>
      <c r="Q142" s="211"/>
      <c r="R142" s="24"/>
      <c r="T142" s="131"/>
      <c r="U142" s="30" t="s">
        <v>40</v>
      </c>
      <c r="V142" s="132">
        <v>0.345</v>
      </c>
      <c r="W142" s="132">
        <f>$V$142*$K$142</f>
        <v>1.38</v>
      </c>
      <c r="X142" s="132">
        <v>0</v>
      </c>
      <c r="Y142" s="132">
        <f>$X$142*$K$142</f>
        <v>0</v>
      </c>
      <c r="Z142" s="132">
        <v>0</v>
      </c>
      <c r="AA142" s="133">
        <f>$Z$142*$K$142</f>
        <v>0</v>
      </c>
      <c r="AR142" s="6" t="s">
        <v>116</v>
      </c>
      <c r="AT142" s="6" t="s">
        <v>173</v>
      </c>
      <c r="AU142" s="6" t="s">
        <v>103</v>
      </c>
      <c r="AY142" s="6" t="s">
        <v>172</v>
      </c>
      <c r="BE142" s="82">
        <f>IF($U$142="základní",$N$142,0)</f>
        <v>0</v>
      </c>
      <c r="BF142" s="82">
        <f>IF($U$142="snížená",$N$142,0)</f>
        <v>0</v>
      </c>
      <c r="BG142" s="82">
        <f>IF($U$142="zákl. přenesena",$N$142,0)</f>
        <v>0</v>
      </c>
      <c r="BH142" s="82">
        <f>IF($U$142="sníž. přenesena",$N$142,0)</f>
        <v>0</v>
      </c>
      <c r="BI142" s="82">
        <f>IF($U$142="nulová",$N$142,0)</f>
        <v>0</v>
      </c>
      <c r="BJ142" s="6" t="s">
        <v>103</v>
      </c>
    </row>
    <row r="143" spans="2:62" s="6" customFormat="1" ht="27" customHeight="1">
      <c r="B143" s="22"/>
      <c r="C143" s="127" t="s">
        <v>191</v>
      </c>
      <c r="D143" s="127" t="s">
        <v>173</v>
      </c>
      <c r="E143" s="128" t="s">
        <v>192</v>
      </c>
      <c r="F143" s="210" t="s">
        <v>193</v>
      </c>
      <c r="G143" s="211"/>
      <c r="H143" s="211"/>
      <c r="I143" s="211"/>
      <c r="J143" s="129" t="s">
        <v>179</v>
      </c>
      <c r="K143" s="130">
        <v>6.9</v>
      </c>
      <c r="L143" s="212">
        <v>0</v>
      </c>
      <c r="M143" s="211"/>
      <c r="N143" s="213">
        <f>ROUND($L$143*$K$143,2)</f>
        <v>0</v>
      </c>
      <c r="O143" s="211"/>
      <c r="P143" s="211"/>
      <c r="Q143" s="211"/>
      <c r="R143" s="24"/>
      <c r="T143" s="131"/>
      <c r="U143" s="30" t="s">
        <v>40</v>
      </c>
      <c r="V143" s="132">
        <v>0.011</v>
      </c>
      <c r="W143" s="132">
        <f>$V$143*$K$143</f>
        <v>0.0759</v>
      </c>
      <c r="X143" s="132">
        <v>0</v>
      </c>
      <c r="Y143" s="132">
        <f>$X$143*$K$143</f>
        <v>0</v>
      </c>
      <c r="Z143" s="132">
        <v>0</v>
      </c>
      <c r="AA143" s="133">
        <f>$Z$143*$K$143</f>
        <v>0</v>
      </c>
      <c r="AR143" s="6" t="s">
        <v>116</v>
      </c>
      <c r="AT143" s="6" t="s">
        <v>173</v>
      </c>
      <c r="AU143" s="6" t="s">
        <v>103</v>
      </c>
      <c r="AY143" s="6" t="s">
        <v>172</v>
      </c>
      <c r="BE143" s="82">
        <f>IF($U$143="základní",$N$143,0)</f>
        <v>0</v>
      </c>
      <c r="BF143" s="82">
        <f>IF($U$143="snížená",$N$143,0)</f>
        <v>0</v>
      </c>
      <c r="BG143" s="82">
        <f>IF($U$143="zákl. přenesena",$N$143,0)</f>
        <v>0</v>
      </c>
      <c r="BH143" s="82">
        <f>IF($U$143="sníž. přenesena",$N$143,0)</f>
        <v>0</v>
      </c>
      <c r="BI143" s="82">
        <f>IF($U$143="nulová",$N$143,0)</f>
        <v>0</v>
      </c>
      <c r="BJ143" s="6" t="s">
        <v>103</v>
      </c>
    </row>
    <row r="144" spans="2:62" s="6" customFormat="1" ht="27" customHeight="1">
      <c r="B144" s="22"/>
      <c r="C144" s="127" t="s">
        <v>194</v>
      </c>
      <c r="D144" s="127" t="s">
        <v>173</v>
      </c>
      <c r="E144" s="128" t="s">
        <v>195</v>
      </c>
      <c r="F144" s="210" t="s">
        <v>196</v>
      </c>
      <c r="G144" s="211"/>
      <c r="H144" s="211"/>
      <c r="I144" s="211"/>
      <c r="J144" s="129" t="s">
        <v>197</v>
      </c>
      <c r="K144" s="130">
        <v>12.42</v>
      </c>
      <c r="L144" s="212">
        <v>0</v>
      </c>
      <c r="M144" s="211"/>
      <c r="N144" s="213">
        <f>ROUND($L$144*$K$144,2)</f>
        <v>0</v>
      </c>
      <c r="O144" s="211"/>
      <c r="P144" s="211"/>
      <c r="Q144" s="211"/>
      <c r="R144" s="24"/>
      <c r="T144" s="131"/>
      <c r="U144" s="30" t="s">
        <v>40</v>
      </c>
      <c r="V144" s="132">
        <v>0</v>
      </c>
      <c r="W144" s="132">
        <f>$V$144*$K$144</f>
        <v>0</v>
      </c>
      <c r="X144" s="132">
        <v>0</v>
      </c>
      <c r="Y144" s="132">
        <f>$X$144*$K$144</f>
        <v>0</v>
      </c>
      <c r="Z144" s="132">
        <v>0</v>
      </c>
      <c r="AA144" s="133">
        <f>$Z$144*$K$144</f>
        <v>0</v>
      </c>
      <c r="AR144" s="6" t="s">
        <v>116</v>
      </c>
      <c r="AT144" s="6" t="s">
        <v>173</v>
      </c>
      <c r="AU144" s="6" t="s">
        <v>103</v>
      </c>
      <c r="AY144" s="6" t="s">
        <v>172</v>
      </c>
      <c r="BE144" s="82">
        <f>IF($U$144="základní",$N$144,0)</f>
        <v>0</v>
      </c>
      <c r="BF144" s="82">
        <f>IF($U$144="snížená",$N$144,0)</f>
        <v>0</v>
      </c>
      <c r="BG144" s="82">
        <f>IF($U$144="zákl. přenesena",$N$144,0)</f>
        <v>0</v>
      </c>
      <c r="BH144" s="82">
        <f>IF($U$144="sníž. přenesena",$N$144,0)</f>
        <v>0</v>
      </c>
      <c r="BI144" s="82">
        <f>IF($U$144="nulová",$N$144,0)</f>
        <v>0</v>
      </c>
      <c r="BJ144" s="6" t="s">
        <v>103</v>
      </c>
    </row>
    <row r="145" spans="2:62" s="6" customFormat="1" ht="27" customHeight="1">
      <c r="B145" s="22"/>
      <c r="C145" s="127" t="s">
        <v>198</v>
      </c>
      <c r="D145" s="127" t="s">
        <v>173</v>
      </c>
      <c r="E145" s="128" t="s">
        <v>199</v>
      </c>
      <c r="F145" s="210" t="s">
        <v>200</v>
      </c>
      <c r="G145" s="211"/>
      <c r="H145" s="211"/>
      <c r="I145" s="211"/>
      <c r="J145" s="129" t="s">
        <v>179</v>
      </c>
      <c r="K145" s="130">
        <v>2.9</v>
      </c>
      <c r="L145" s="212">
        <v>0</v>
      </c>
      <c r="M145" s="211"/>
      <c r="N145" s="213">
        <f>ROUND($L$145*$K$145,2)</f>
        <v>0</v>
      </c>
      <c r="O145" s="211"/>
      <c r="P145" s="211"/>
      <c r="Q145" s="211"/>
      <c r="R145" s="24"/>
      <c r="T145" s="131"/>
      <c r="U145" s="30" t="s">
        <v>40</v>
      </c>
      <c r="V145" s="132">
        <v>0.115</v>
      </c>
      <c r="W145" s="132">
        <f>$V$145*$K$145</f>
        <v>0.3335</v>
      </c>
      <c r="X145" s="132">
        <v>0</v>
      </c>
      <c r="Y145" s="132">
        <f>$X$145*$K$145</f>
        <v>0</v>
      </c>
      <c r="Z145" s="132">
        <v>0</v>
      </c>
      <c r="AA145" s="133">
        <f>$Z$145*$K$145</f>
        <v>0</v>
      </c>
      <c r="AR145" s="6" t="s">
        <v>116</v>
      </c>
      <c r="AT145" s="6" t="s">
        <v>173</v>
      </c>
      <c r="AU145" s="6" t="s">
        <v>103</v>
      </c>
      <c r="AY145" s="6" t="s">
        <v>172</v>
      </c>
      <c r="BE145" s="82">
        <f>IF($U$145="základní",$N$145,0)</f>
        <v>0</v>
      </c>
      <c r="BF145" s="82">
        <f>IF($U$145="snížená",$N$145,0)</f>
        <v>0</v>
      </c>
      <c r="BG145" s="82">
        <f>IF($U$145="zákl. přenesena",$N$145,0)</f>
        <v>0</v>
      </c>
      <c r="BH145" s="82">
        <f>IF($U$145="sníž. přenesena",$N$145,0)</f>
        <v>0</v>
      </c>
      <c r="BI145" s="82">
        <f>IF($U$145="nulová",$N$145,0)</f>
        <v>0</v>
      </c>
      <c r="BJ145" s="6" t="s">
        <v>103</v>
      </c>
    </row>
    <row r="146" spans="2:62" s="6" customFormat="1" ht="15.75" customHeight="1">
      <c r="B146" s="22"/>
      <c r="C146" s="134" t="s">
        <v>22</v>
      </c>
      <c r="D146" s="134" t="s">
        <v>201</v>
      </c>
      <c r="E146" s="135" t="s">
        <v>202</v>
      </c>
      <c r="F146" s="214" t="s">
        <v>203</v>
      </c>
      <c r="G146" s="215"/>
      <c r="H146" s="215"/>
      <c r="I146" s="215"/>
      <c r="J146" s="136" t="s">
        <v>197</v>
      </c>
      <c r="K146" s="137">
        <v>5.508</v>
      </c>
      <c r="L146" s="216">
        <v>0</v>
      </c>
      <c r="M146" s="215"/>
      <c r="N146" s="217">
        <f>ROUND($L$146*$K$146,2)</f>
        <v>0</v>
      </c>
      <c r="O146" s="211"/>
      <c r="P146" s="211"/>
      <c r="Q146" s="211"/>
      <c r="R146" s="24"/>
      <c r="T146" s="131"/>
      <c r="U146" s="30" t="s">
        <v>40</v>
      </c>
      <c r="V146" s="132">
        <v>0</v>
      </c>
      <c r="W146" s="132">
        <f>$V$146*$K$146</f>
        <v>0</v>
      </c>
      <c r="X146" s="132">
        <v>1</v>
      </c>
      <c r="Y146" s="132">
        <f>$X$146*$K$146</f>
        <v>5.508</v>
      </c>
      <c r="Z146" s="132">
        <v>0</v>
      </c>
      <c r="AA146" s="133">
        <f>$Z$146*$K$146</f>
        <v>0</v>
      </c>
      <c r="AR146" s="6" t="s">
        <v>194</v>
      </c>
      <c r="AT146" s="6" t="s">
        <v>201</v>
      </c>
      <c r="AU146" s="6" t="s">
        <v>103</v>
      </c>
      <c r="AY146" s="6" t="s">
        <v>172</v>
      </c>
      <c r="BE146" s="82">
        <f>IF($U$146="základní",$N$146,0)</f>
        <v>0</v>
      </c>
      <c r="BF146" s="82">
        <f>IF($U$146="snížená",$N$146,0)</f>
        <v>0</v>
      </c>
      <c r="BG146" s="82">
        <f>IF($U$146="zákl. přenesena",$N$146,0)</f>
        <v>0</v>
      </c>
      <c r="BH146" s="82">
        <f>IF($U$146="sníž. přenesena",$N$146,0)</f>
        <v>0</v>
      </c>
      <c r="BI146" s="82">
        <f>IF($U$146="nulová",$N$146,0)</f>
        <v>0</v>
      </c>
      <c r="BJ146" s="6" t="s">
        <v>103</v>
      </c>
    </row>
    <row r="147" spans="2:51" s="117" customFormat="1" ht="30.75" customHeight="1">
      <c r="B147" s="118"/>
      <c r="C147" s="119"/>
      <c r="D147" s="126" t="s">
        <v>128</v>
      </c>
      <c r="E147" s="119"/>
      <c r="F147" s="119"/>
      <c r="G147" s="119"/>
      <c r="H147" s="119"/>
      <c r="I147" s="119"/>
      <c r="J147" s="119"/>
      <c r="K147" s="119"/>
      <c r="L147" s="119"/>
      <c r="M147" s="119"/>
      <c r="N147" s="221">
        <f>SUM($N$148:$N$151)</f>
        <v>0</v>
      </c>
      <c r="O147" s="220"/>
      <c r="P147" s="220"/>
      <c r="Q147" s="220"/>
      <c r="R147" s="121"/>
      <c r="T147" s="122"/>
      <c r="U147" s="119"/>
      <c r="V147" s="119"/>
      <c r="W147" s="123">
        <f>SUM($W$148:$W$151)</f>
        <v>29.673199999999998</v>
      </c>
      <c r="X147" s="119"/>
      <c r="Y147" s="123">
        <f>SUM($Y$148:$Y$151)</f>
        <v>0.003920000000000001</v>
      </c>
      <c r="Z147" s="119"/>
      <c r="AA147" s="124">
        <f>SUM($AA$148:$AA$151)</f>
        <v>0</v>
      </c>
      <c r="AR147" s="125" t="s">
        <v>17</v>
      </c>
      <c r="AT147" s="125" t="s">
        <v>72</v>
      </c>
      <c r="AU147" s="125" t="s">
        <v>17</v>
      </c>
      <c r="AY147" s="125" t="s">
        <v>172</v>
      </c>
    </row>
    <row r="148" spans="2:62" s="6" customFormat="1" ht="27" customHeight="1">
      <c r="B148" s="22"/>
      <c r="C148" s="127" t="s">
        <v>204</v>
      </c>
      <c r="D148" s="127" t="s">
        <v>173</v>
      </c>
      <c r="E148" s="128" t="s">
        <v>205</v>
      </c>
      <c r="F148" s="210" t="s">
        <v>206</v>
      </c>
      <c r="G148" s="211"/>
      <c r="H148" s="211"/>
      <c r="I148" s="211"/>
      <c r="J148" s="129" t="s">
        <v>176</v>
      </c>
      <c r="K148" s="130">
        <v>7</v>
      </c>
      <c r="L148" s="212">
        <v>0</v>
      </c>
      <c r="M148" s="211"/>
      <c r="N148" s="213">
        <f>ROUND($L$148*$K$148,2)</f>
        <v>0</v>
      </c>
      <c r="O148" s="211"/>
      <c r="P148" s="211"/>
      <c r="Q148" s="211"/>
      <c r="R148" s="24"/>
      <c r="T148" s="131"/>
      <c r="U148" s="30" t="s">
        <v>40</v>
      </c>
      <c r="V148" s="132">
        <v>0.058</v>
      </c>
      <c r="W148" s="132">
        <f>$V$148*$K$148</f>
        <v>0.406</v>
      </c>
      <c r="X148" s="132">
        <v>0.0001</v>
      </c>
      <c r="Y148" s="132">
        <f>$X$148*$K$148</f>
        <v>0.0007</v>
      </c>
      <c r="Z148" s="132">
        <v>0</v>
      </c>
      <c r="AA148" s="133">
        <f>$Z$148*$K$148</f>
        <v>0</v>
      </c>
      <c r="AR148" s="6" t="s">
        <v>116</v>
      </c>
      <c r="AT148" s="6" t="s">
        <v>173</v>
      </c>
      <c r="AU148" s="6" t="s">
        <v>103</v>
      </c>
      <c r="AY148" s="6" t="s">
        <v>172</v>
      </c>
      <c r="BE148" s="82">
        <f>IF($U$148="základní",$N$148,0)</f>
        <v>0</v>
      </c>
      <c r="BF148" s="82">
        <f>IF($U$148="snížená",$N$148,0)</f>
        <v>0</v>
      </c>
      <c r="BG148" s="82">
        <f>IF($U$148="zákl. přenesena",$N$148,0)</f>
        <v>0</v>
      </c>
      <c r="BH148" s="82">
        <f>IF($U$148="sníž. přenesena",$N$148,0)</f>
        <v>0</v>
      </c>
      <c r="BI148" s="82">
        <f>IF($U$148="nulová",$N$148,0)</f>
        <v>0</v>
      </c>
      <c r="BJ148" s="6" t="s">
        <v>103</v>
      </c>
    </row>
    <row r="149" spans="2:62" s="6" customFormat="1" ht="27" customHeight="1">
      <c r="B149" s="22"/>
      <c r="C149" s="134" t="s">
        <v>207</v>
      </c>
      <c r="D149" s="134" t="s">
        <v>201</v>
      </c>
      <c r="E149" s="135" t="s">
        <v>208</v>
      </c>
      <c r="F149" s="214" t="s">
        <v>209</v>
      </c>
      <c r="G149" s="215"/>
      <c r="H149" s="215"/>
      <c r="I149" s="215"/>
      <c r="J149" s="136" t="s">
        <v>176</v>
      </c>
      <c r="K149" s="137">
        <v>8.05</v>
      </c>
      <c r="L149" s="216">
        <v>0</v>
      </c>
      <c r="M149" s="215"/>
      <c r="N149" s="217">
        <f>ROUND($L$149*$K$149,2)</f>
        <v>0</v>
      </c>
      <c r="O149" s="211"/>
      <c r="P149" s="211"/>
      <c r="Q149" s="211"/>
      <c r="R149" s="24"/>
      <c r="T149" s="131"/>
      <c r="U149" s="30" t="s">
        <v>40</v>
      </c>
      <c r="V149" s="132">
        <v>0</v>
      </c>
      <c r="W149" s="132">
        <f>$V$149*$K$149</f>
        <v>0</v>
      </c>
      <c r="X149" s="132">
        <v>0.0004</v>
      </c>
      <c r="Y149" s="132">
        <f>$X$149*$K$149</f>
        <v>0.0032200000000000006</v>
      </c>
      <c r="Z149" s="132">
        <v>0</v>
      </c>
      <c r="AA149" s="133">
        <f>$Z$149*$K$149</f>
        <v>0</v>
      </c>
      <c r="AR149" s="6" t="s">
        <v>194</v>
      </c>
      <c r="AT149" s="6" t="s">
        <v>201</v>
      </c>
      <c r="AU149" s="6" t="s">
        <v>103</v>
      </c>
      <c r="AY149" s="6" t="s">
        <v>172</v>
      </c>
      <c r="BE149" s="82">
        <f>IF($U$149="základní",$N$149,0)</f>
        <v>0</v>
      </c>
      <c r="BF149" s="82">
        <f>IF($U$149="snížená",$N$149,0)</f>
        <v>0</v>
      </c>
      <c r="BG149" s="82">
        <f>IF($U$149="zákl. přenesena",$N$149,0)</f>
        <v>0</v>
      </c>
      <c r="BH149" s="82">
        <f>IF($U$149="sníž. přenesena",$N$149,0)</f>
        <v>0</v>
      </c>
      <c r="BI149" s="82">
        <f>IF($U$149="nulová",$N$149,0)</f>
        <v>0</v>
      </c>
      <c r="BJ149" s="6" t="s">
        <v>103</v>
      </c>
    </row>
    <row r="150" spans="2:62" s="6" customFormat="1" ht="15.75" customHeight="1">
      <c r="B150" s="22"/>
      <c r="C150" s="127" t="s">
        <v>210</v>
      </c>
      <c r="D150" s="127" t="s">
        <v>173</v>
      </c>
      <c r="E150" s="128" t="s">
        <v>211</v>
      </c>
      <c r="F150" s="210" t="s">
        <v>212</v>
      </c>
      <c r="G150" s="211"/>
      <c r="H150" s="211"/>
      <c r="I150" s="211"/>
      <c r="J150" s="129" t="s">
        <v>176</v>
      </c>
      <c r="K150" s="130">
        <v>14</v>
      </c>
      <c r="L150" s="212">
        <v>0</v>
      </c>
      <c r="M150" s="211"/>
      <c r="N150" s="213">
        <f>ROUND($L$150*$K$150,2)</f>
        <v>0</v>
      </c>
      <c r="O150" s="211"/>
      <c r="P150" s="211"/>
      <c r="Q150" s="211"/>
      <c r="R150" s="24"/>
      <c r="T150" s="131"/>
      <c r="U150" s="30" t="s">
        <v>40</v>
      </c>
      <c r="V150" s="132">
        <v>0.526</v>
      </c>
      <c r="W150" s="132">
        <f>$V$150*$K$150</f>
        <v>7.364000000000001</v>
      </c>
      <c r="X150" s="132">
        <v>0</v>
      </c>
      <c r="Y150" s="132">
        <f>$X$150*$K$150</f>
        <v>0</v>
      </c>
      <c r="Z150" s="132">
        <v>0</v>
      </c>
      <c r="AA150" s="133">
        <f>$Z$150*$K$150</f>
        <v>0</v>
      </c>
      <c r="AR150" s="6" t="s">
        <v>116</v>
      </c>
      <c r="AT150" s="6" t="s">
        <v>173</v>
      </c>
      <c r="AU150" s="6" t="s">
        <v>103</v>
      </c>
      <c r="AY150" s="6" t="s">
        <v>172</v>
      </c>
      <c r="BE150" s="82">
        <f>IF($U$150="základní",$N$150,0)</f>
        <v>0</v>
      </c>
      <c r="BF150" s="82">
        <f>IF($U$150="snížená",$N$150,0)</f>
        <v>0</v>
      </c>
      <c r="BG150" s="82">
        <f>IF($U$150="zákl. přenesena",$N$150,0)</f>
        <v>0</v>
      </c>
      <c r="BH150" s="82">
        <f>IF($U$150="sníž. přenesena",$N$150,0)</f>
        <v>0</v>
      </c>
      <c r="BI150" s="82">
        <f>IF($U$150="nulová",$N$150,0)</f>
        <v>0</v>
      </c>
      <c r="BJ150" s="6" t="s">
        <v>103</v>
      </c>
    </row>
    <row r="151" spans="2:62" s="6" customFormat="1" ht="15.75" customHeight="1">
      <c r="B151" s="22"/>
      <c r="C151" s="127" t="s">
        <v>8</v>
      </c>
      <c r="D151" s="127" t="s">
        <v>173</v>
      </c>
      <c r="E151" s="128" t="s">
        <v>213</v>
      </c>
      <c r="F151" s="210" t="s">
        <v>214</v>
      </c>
      <c r="G151" s="211"/>
      <c r="H151" s="211"/>
      <c r="I151" s="211"/>
      <c r="J151" s="129" t="s">
        <v>179</v>
      </c>
      <c r="K151" s="130">
        <v>8.36</v>
      </c>
      <c r="L151" s="212">
        <v>0</v>
      </c>
      <c r="M151" s="211"/>
      <c r="N151" s="213">
        <f>ROUND($L$151*$K$151,2)</f>
        <v>0</v>
      </c>
      <c r="O151" s="211"/>
      <c r="P151" s="211"/>
      <c r="Q151" s="211"/>
      <c r="R151" s="24"/>
      <c r="T151" s="131"/>
      <c r="U151" s="30" t="s">
        <v>40</v>
      </c>
      <c r="V151" s="132">
        <v>2.62</v>
      </c>
      <c r="W151" s="132">
        <f>$V$151*$K$151</f>
        <v>21.9032</v>
      </c>
      <c r="X151" s="132">
        <v>0</v>
      </c>
      <c r="Y151" s="132">
        <f>$X$151*$K$151</f>
        <v>0</v>
      </c>
      <c r="Z151" s="132">
        <v>0</v>
      </c>
      <c r="AA151" s="133">
        <f>$Z$151*$K$151</f>
        <v>0</v>
      </c>
      <c r="AR151" s="6" t="s">
        <v>116</v>
      </c>
      <c r="AT151" s="6" t="s">
        <v>173</v>
      </c>
      <c r="AU151" s="6" t="s">
        <v>103</v>
      </c>
      <c r="AY151" s="6" t="s">
        <v>172</v>
      </c>
      <c r="BE151" s="82">
        <f>IF($U$151="základní",$N$151,0)</f>
        <v>0</v>
      </c>
      <c r="BF151" s="82">
        <f>IF($U$151="snížená",$N$151,0)</f>
        <v>0</v>
      </c>
      <c r="BG151" s="82">
        <f>IF($U$151="zákl. přenesena",$N$151,0)</f>
        <v>0</v>
      </c>
      <c r="BH151" s="82">
        <f>IF($U$151="sníž. přenesena",$N$151,0)</f>
        <v>0</v>
      </c>
      <c r="BI151" s="82">
        <f>IF($U$151="nulová",$N$151,0)</f>
        <v>0</v>
      </c>
      <c r="BJ151" s="6" t="s">
        <v>103</v>
      </c>
    </row>
    <row r="152" spans="2:51" s="117" customFormat="1" ht="30.75" customHeight="1">
      <c r="B152" s="118"/>
      <c r="C152" s="119"/>
      <c r="D152" s="126" t="s">
        <v>129</v>
      </c>
      <c r="E152" s="119"/>
      <c r="F152" s="119"/>
      <c r="G152" s="119"/>
      <c r="H152" s="119"/>
      <c r="I152" s="119"/>
      <c r="J152" s="119"/>
      <c r="K152" s="119"/>
      <c r="L152" s="119"/>
      <c r="M152" s="119"/>
      <c r="N152" s="221">
        <f>SUM($N$153:$N$156)</f>
        <v>0</v>
      </c>
      <c r="O152" s="220"/>
      <c r="P152" s="220"/>
      <c r="Q152" s="220"/>
      <c r="R152" s="121"/>
      <c r="T152" s="122"/>
      <c r="U152" s="119"/>
      <c r="V152" s="119"/>
      <c r="W152" s="123">
        <f>SUM($W$153:$W$156)</f>
        <v>107.745554</v>
      </c>
      <c r="X152" s="119"/>
      <c r="Y152" s="123">
        <f>SUM($Y$153:$Y$156)</f>
        <v>21.40521666</v>
      </c>
      <c r="Z152" s="119"/>
      <c r="AA152" s="124">
        <f>SUM($AA$153:$AA$156)</f>
        <v>2.16</v>
      </c>
      <c r="AR152" s="125" t="s">
        <v>17</v>
      </c>
      <c r="AT152" s="125" t="s">
        <v>72</v>
      </c>
      <c r="AU152" s="125" t="s">
        <v>17</v>
      </c>
      <c r="AY152" s="125" t="s">
        <v>172</v>
      </c>
    </row>
    <row r="153" spans="2:62" s="6" customFormat="1" ht="27" customHeight="1">
      <c r="B153" s="22"/>
      <c r="C153" s="127" t="s">
        <v>215</v>
      </c>
      <c r="D153" s="127" t="s">
        <v>173</v>
      </c>
      <c r="E153" s="128" t="s">
        <v>216</v>
      </c>
      <c r="F153" s="210" t="s">
        <v>217</v>
      </c>
      <c r="G153" s="211"/>
      <c r="H153" s="211"/>
      <c r="I153" s="211"/>
      <c r="J153" s="129" t="s">
        <v>179</v>
      </c>
      <c r="K153" s="130">
        <v>1.163</v>
      </c>
      <c r="L153" s="212">
        <v>0</v>
      </c>
      <c r="M153" s="211"/>
      <c r="N153" s="213">
        <f>ROUND($L$153*$K$153,2)</f>
        <v>0</v>
      </c>
      <c r="O153" s="211"/>
      <c r="P153" s="211"/>
      <c r="Q153" s="211"/>
      <c r="R153" s="24"/>
      <c r="T153" s="131"/>
      <c r="U153" s="30" t="s">
        <v>40</v>
      </c>
      <c r="V153" s="132">
        <v>3.842</v>
      </c>
      <c r="W153" s="132">
        <f>$V$153*$K$153</f>
        <v>4.468246000000001</v>
      </c>
      <c r="X153" s="132">
        <v>1.7545</v>
      </c>
      <c r="Y153" s="132">
        <f>$X$153*$K$153</f>
        <v>2.0404835</v>
      </c>
      <c r="Z153" s="132">
        <v>0</v>
      </c>
      <c r="AA153" s="133">
        <f>$Z$153*$K$153</f>
        <v>0</v>
      </c>
      <c r="AR153" s="6" t="s">
        <v>116</v>
      </c>
      <c r="AT153" s="6" t="s">
        <v>173</v>
      </c>
      <c r="AU153" s="6" t="s">
        <v>103</v>
      </c>
      <c r="AY153" s="6" t="s">
        <v>172</v>
      </c>
      <c r="BE153" s="82">
        <f>IF($U$153="základní",$N$153,0)</f>
        <v>0</v>
      </c>
      <c r="BF153" s="82">
        <f>IF($U$153="snížená",$N$153,0)</f>
        <v>0</v>
      </c>
      <c r="BG153" s="82">
        <f>IF($U$153="zákl. přenesena",$N$153,0)</f>
        <v>0</v>
      </c>
      <c r="BH153" s="82">
        <f>IF($U$153="sníž. přenesena",$N$153,0)</f>
        <v>0</v>
      </c>
      <c r="BI153" s="82">
        <f>IF($U$153="nulová",$N$153,0)</f>
        <v>0</v>
      </c>
      <c r="BJ153" s="6" t="s">
        <v>103</v>
      </c>
    </row>
    <row r="154" spans="2:62" s="6" customFormat="1" ht="27" customHeight="1">
      <c r="B154" s="22"/>
      <c r="C154" s="127" t="s">
        <v>218</v>
      </c>
      <c r="D154" s="127" t="s">
        <v>173</v>
      </c>
      <c r="E154" s="128" t="s">
        <v>219</v>
      </c>
      <c r="F154" s="210" t="s">
        <v>220</v>
      </c>
      <c r="G154" s="211"/>
      <c r="H154" s="211"/>
      <c r="I154" s="211"/>
      <c r="J154" s="129" t="s">
        <v>176</v>
      </c>
      <c r="K154" s="130">
        <v>4</v>
      </c>
      <c r="L154" s="212">
        <v>0</v>
      </c>
      <c r="M154" s="211"/>
      <c r="N154" s="213">
        <f>ROUND($L$154*$K$154,2)</f>
        <v>0</v>
      </c>
      <c r="O154" s="211"/>
      <c r="P154" s="211"/>
      <c r="Q154" s="211"/>
      <c r="R154" s="24"/>
      <c r="T154" s="131"/>
      <c r="U154" s="30" t="s">
        <v>40</v>
      </c>
      <c r="V154" s="132">
        <v>4.105</v>
      </c>
      <c r="W154" s="132">
        <f>$V$154*$K$154</f>
        <v>16.42</v>
      </c>
      <c r="X154" s="132">
        <v>0.52517</v>
      </c>
      <c r="Y154" s="132">
        <f>$X$154*$K$154</f>
        <v>2.10068</v>
      </c>
      <c r="Z154" s="132">
        <v>0.54</v>
      </c>
      <c r="AA154" s="133">
        <f>$Z$154*$K$154</f>
        <v>2.16</v>
      </c>
      <c r="AR154" s="6" t="s">
        <v>116</v>
      </c>
      <c r="AT154" s="6" t="s">
        <v>173</v>
      </c>
      <c r="AU154" s="6" t="s">
        <v>103</v>
      </c>
      <c r="AY154" s="6" t="s">
        <v>172</v>
      </c>
      <c r="BE154" s="82">
        <f>IF($U$154="základní",$N$154,0)</f>
        <v>0</v>
      </c>
      <c r="BF154" s="82">
        <f>IF($U$154="snížená",$N$154,0)</f>
        <v>0</v>
      </c>
      <c r="BG154" s="82">
        <f>IF($U$154="zákl. přenesena",$N$154,0)</f>
        <v>0</v>
      </c>
      <c r="BH154" s="82">
        <f>IF($U$154="sníž. přenesena",$N$154,0)</f>
        <v>0</v>
      </c>
      <c r="BI154" s="82">
        <f>IF($U$154="nulová",$N$154,0)</f>
        <v>0</v>
      </c>
      <c r="BJ154" s="6" t="s">
        <v>103</v>
      </c>
    </row>
    <row r="155" spans="2:62" s="6" customFormat="1" ht="15.75" customHeight="1">
      <c r="B155" s="22"/>
      <c r="C155" s="127" t="s">
        <v>221</v>
      </c>
      <c r="D155" s="127" t="s">
        <v>173</v>
      </c>
      <c r="E155" s="128" t="s">
        <v>222</v>
      </c>
      <c r="F155" s="210" t="s">
        <v>223</v>
      </c>
      <c r="G155" s="211"/>
      <c r="H155" s="211"/>
      <c r="I155" s="211"/>
      <c r="J155" s="129" t="s">
        <v>176</v>
      </c>
      <c r="K155" s="130">
        <v>21.418</v>
      </c>
      <c r="L155" s="212">
        <v>0</v>
      </c>
      <c r="M155" s="211"/>
      <c r="N155" s="213">
        <f>ROUND($L$155*$K$155,2)</f>
        <v>0</v>
      </c>
      <c r="O155" s="211"/>
      <c r="P155" s="211"/>
      <c r="Q155" s="211"/>
      <c r="R155" s="24"/>
      <c r="T155" s="131"/>
      <c r="U155" s="30" t="s">
        <v>40</v>
      </c>
      <c r="V155" s="132">
        <v>1.606</v>
      </c>
      <c r="W155" s="132">
        <f>$V$155*$K$155</f>
        <v>34.397308</v>
      </c>
      <c r="X155" s="132">
        <v>0.28862</v>
      </c>
      <c r="Y155" s="132">
        <f>$X$155*$K$155</f>
        <v>6.181663159999999</v>
      </c>
      <c r="Z155" s="132">
        <v>0</v>
      </c>
      <c r="AA155" s="133">
        <f>$Z$155*$K$155</f>
        <v>0</v>
      </c>
      <c r="AR155" s="6" t="s">
        <v>116</v>
      </c>
      <c r="AT155" s="6" t="s">
        <v>173</v>
      </c>
      <c r="AU155" s="6" t="s">
        <v>103</v>
      </c>
      <c r="AY155" s="6" t="s">
        <v>172</v>
      </c>
      <c r="BE155" s="82">
        <f>IF($U$155="základní",$N$155,0)</f>
        <v>0</v>
      </c>
      <c r="BF155" s="82">
        <f>IF($U$155="snížená",$N$155,0)</f>
        <v>0</v>
      </c>
      <c r="BG155" s="82">
        <f>IF($U$155="zákl. přenesena",$N$155,0)</f>
        <v>0</v>
      </c>
      <c r="BH155" s="82">
        <f>IF($U$155="sníž. přenesena",$N$155,0)</f>
        <v>0</v>
      </c>
      <c r="BI155" s="82">
        <f>IF($U$155="nulová",$N$155,0)</f>
        <v>0</v>
      </c>
      <c r="BJ155" s="6" t="s">
        <v>103</v>
      </c>
    </row>
    <row r="156" spans="2:62" s="6" customFormat="1" ht="27" customHeight="1">
      <c r="B156" s="22"/>
      <c r="C156" s="127" t="s">
        <v>224</v>
      </c>
      <c r="D156" s="127" t="s">
        <v>173</v>
      </c>
      <c r="E156" s="128" t="s">
        <v>225</v>
      </c>
      <c r="F156" s="210" t="s">
        <v>226</v>
      </c>
      <c r="G156" s="211"/>
      <c r="H156" s="211"/>
      <c r="I156" s="211"/>
      <c r="J156" s="129" t="s">
        <v>176</v>
      </c>
      <c r="K156" s="130">
        <v>43</v>
      </c>
      <c r="L156" s="212">
        <v>0</v>
      </c>
      <c r="M156" s="211"/>
      <c r="N156" s="213">
        <f>ROUND($L$156*$K$156,2)</f>
        <v>0</v>
      </c>
      <c r="O156" s="211"/>
      <c r="P156" s="211"/>
      <c r="Q156" s="211"/>
      <c r="R156" s="24"/>
      <c r="T156" s="131"/>
      <c r="U156" s="30" t="s">
        <v>40</v>
      </c>
      <c r="V156" s="132">
        <v>1.22</v>
      </c>
      <c r="W156" s="132">
        <f>$V$156*$K$156</f>
        <v>52.46</v>
      </c>
      <c r="X156" s="132">
        <v>0.25773</v>
      </c>
      <c r="Y156" s="132">
        <f>$X$156*$K$156</f>
        <v>11.08239</v>
      </c>
      <c r="Z156" s="132">
        <v>0</v>
      </c>
      <c r="AA156" s="133">
        <f>$Z$156*$K$156</f>
        <v>0</v>
      </c>
      <c r="AR156" s="6" t="s">
        <v>116</v>
      </c>
      <c r="AT156" s="6" t="s">
        <v>173</v>
      </c>
      <c r="AU156" s="6" t="s">
        <v>103</v>
      </c>
      <c r="AY156" s="6" t="s">
        <v>172</v>
      </c>
      <c r="BE156" s="82">
        <f>IF($U$156="základní",$N$156,0)</f>
        <v>0</v>
      </c>
      <c r="BF156" s="82">
        <f>IF($U$156="snížená",$N$156,0)</f>
        <v>0</v>
      </c>
      <c r="BG156" s="82">
        <f>IF($U$156="zákl. přenesena",$N$156,0)</f>
        <v>0</v>
      </c>
      <c r="BH156" s="82">
        <f>IF($U$156="sníž. přenesena",$N$156,0)</f>
        <v>0</v>
      </c>
      <c r="BI156" s="82">
        <f>IF($U$156="nulová",$N$156,0)</f>
        <v>0</v>
      </c>
      <c r="BJ156" s="6" t="s">
        <v>103</v>
      </c>
    </row>
    <row r="157" spans="2:51" s="117" customFormat="1" ht="30.75" customHeight="1">
      <c r="B157" s="118"/>
      <c r="C157" s="119"/>
      <c r="D157" s="126" t="s">
        <v>130</v>
      </c>
      <c r="E157" s="119"/>
      <c r="F157" s="119"/>
      <c r="G157" s="119"/>
      <c r="H157" s="119"/>
      <c r="I157" s="119"/>
      <c r="J157" s="119"/>
      <c r="K157" s="119"/>
      <c r="L157" s="119"/>
      <c r="M157" s="119"/>
      <c r="N157" s="221">
        <f>SUM($N$158:$N$160)</f>
        <v>0</v>
      </c>
      <c r="O157" s="220"/>
      <c r="P157" s="220"/>
      <c r="Q157" s="220"/>
      <c r="R157" s="121"/>
      <c r="T157" s="122"/>
      <c r="U157" s="119"/>
      <c r="V157" s="119"/>
      <c r="W157" s="123">
        <f>SUM($W$158:$W$160)</f>
        <v>4.718000000000001</v>
      </c>
      <c r="X157" s="119"/>
      <c r="Y157" s="123">
        <f>SUM($Y$158:$Y$160)</f>
        <v>1.47056</v>
      </c>
      <c r="Z157" s="119"/>
      <c r="AA157" s="124">
        <f>SUM($AA$158:$AA$160)</f>
        <v>0</v>
      </c>
      <c r="AR157" s="125" t="s">
        <v>17</v>
      </c>
      <c r="AT157" s="125" t="s">
        <v>72</v>
      </c>
      <c r="AU157" s="125" t="s">
        <v>17</v>
      </c>
      <c r="AY157" s="125" t="s">
        <v>172</v>
      </c>
    </row>
    <row r="158" spans="2:62" s="6" customFormat="1" ht="15.75" customHeight="1">
      <c r="B158" s="22"/>
      <c r="C158" s="127" t="s">
        <v>227</v>
      </c>
      <c r="D158" s="127" t="s">
        <v>173</v>
      </c>
      <c r="E158" s="128" t="s">
        <v>228</v>
      </c>
      <c r="F158" s="210" t="s">
        <v>229</v>
      </c>
      <c r="G158" s="211"/>
      <c r="H158" s="211"/>
      <c r="I158" s="211"/>
      <c r="J158" s="129" t="s">
        <v>176</v>
      </c>
      <c r="K158" s="130">
        <v>7</v>
      </c>
      <c r="L158" s="212">
        <v>0</v>
      </c>
      <c r="M158" s="211"/>
      <c r="N158" s="213">
        <f>ROUND($L$158*$K$158,2)</f>
        <v>0</v>
      </c>
      <c r="O158" s="211"/>
      <c r="P158" s="211"/>
      <c r="Q158" s="211"/>
      <c r="R158" s="24"/>
      <c r="T158" s="131"/>
      <c r="U158" s="30" t="s">
        <v>40</v>
      </c>
      <c r="V158" s="132">
        <v>0.026</v>
      </c>
      <c r="W158" s="132">
        <f>$V$158*$K$158</f>
        <v>0.182</v>
      </c>
      <c r="X158" s="132">
        <v>0</v>
      </c>
      <c r="Y158" s="132">
        <f>$X$158*$K$158</f>
        <v>0</v>
      </c>
      <c r="Z158" s="132">
        <v>0</v>
      </c>
      <c r="AA158" s="133">
        <f>$Z$158*$K$158</f>
        <v>0</v>
      </c>
      <c r="AR158" s="6" t="s">
        <v>116</v>
      </c>
      <c r="AT158" s="6" t="s">
        <v>173</v>
      </c>
      <c r="AU158" s="6" t="s">
        <v>103</v>
      </c>
      <c r="AY158" s="6" t="s">
        <v>172</v>
      </c>
      <c r="BE158" s="82">
        <f>IF($U$158="základní",$N$158,0)</f>
        <v>0</v>
      </c>
      <c r="BF158" s="82">
        <f>IF($U$158="snížená",$N$158,0)</f>
        <v>0</v>
      </c>
      <c r="BG158" s="82">
        <f>IF($U$158="zákl. přenesena",$N$158,0)</f>
        <v>0</v>
      </c>
      <c r="BH158" s="82">
        <f>IF($U$158="sníž. přenesena",$N$158,0)</f>
        <v>0</v>
      </c>
      <c r="BI158" s="82">
        <f>IF($U$158="nulová",$N$158,0)</f>
        <v>0</v>
      </c>
      <c r="BJ158" s="6" t="s">
        <v>103</v>
      </c>
    </row>
    <row r="159" spans="2:62" s="6" customFormat="1" ht="27" customHeight="1">
      <c r="B159" s="22"/>
      <c r="C159" s="127" t="s">
        <v>7</v>
      </c>
      <c r="D159" s="127" t="s">
        <v>173</v>
      </c>
      <c r="E159" s="128" t="s">
        <v>230</v>
      </c>
      <c r="F159" s="210" t="s">
        <v>231</v>
      </c>
      <c r="G159" s="211"/>
      <c r="H159" s="211"/>
      <c r="I159" s="211"/>
      <c r="J159" s="129" t="s">
        <v>176</v>
      </c>
      <c r="K159" s="130">
        <v>7</v>
      </c>
      <c r="L159" s="212">
        <v>0</v>
      </c>
      <c r="M159" s="211"/>
      <c r="N159" s="213">
        <f>ROUND($L$159*$K$159,2)</f>
        <v>0</v>
      </c>
      <c r="O159" s="211"/>
      <c r="P159" s="211"/>
      <c r="Q159" s="211"/>
      <c r="R159" s="24"/>
      <c r="T159" s="131"/>
      <c r="U159" s="30" t="s">
        <v>40</v>
      </c>
      <c r="V159" s="132">
        <v>0.648</v>
      </c>
      <c r="W159" s="132">
        <f>$V$159*$K$159</f>
        <v>4.5360000000000005</v>
      </c>
      <c r="X159" s="132">
        <v>0.101</v>
      </c>
      <c r="Y159" s="132">
        <f>$X$159*$K$159</f>
        <v>0.7070000000000001</v>
      </c>
      <c r="Z159" s="132">
        <v>0</v>
      </c>
      <c r="AA159" s="133">
        <f>$Z$159*$K$159</f>
        <v>0</v>
      </c>
      <c r="AR159" s="6" t="s">
        <v>116</v>
      </c>
      <c r="AT159" s="6" t="s">
        <v>173</v>
      </c>
      <c r="AU159" s="6" t="s">
        <v>103</v>
      </c>
      <c r="AY159" s="6" t="s">
        <v>172</v>
      </c>
      <c r="BE159" s="82">
        <f>IF($U$159="základní",$N$159,0)</f>
        <v>0</v>
      </c>
      <c r="BF159" s="82">
        <f>IF($U$159="snížená",$N$159,0)</f>
        <v>0</v>
      </c>
      <c r="BG159" s="82">
        <f>IF($U$159="zákl. přenesena",$N$159,0)</f>
        <v>0</v>
      </c>
      <c r="BH159" s="82">
        <f>IF($U$159="sníž. přenesena",$N$159,0)</f>
        <v>0</v>
      </c>
      <c r="BI159" s="82">
        <f>IF($U$159="nulová",$N$159,0)</f>
        <v>0</v>
      </c>
      <c r="BJ159" s="6" t="s">
        <v>103</v>
      </c>
    </row>
    <row r="160" spans="2:62" s="6" customFormat="1" ht="15.75" customHeight="1">
      <c r="B160" s="22"/>
      <c r="C160" s="134" t="s">
        <v>232</v>
      </c>
      <c r="D160" s="134" t="s">
        <v>201</v>
      </c>
      <c r="E160" s="135" t="s">
        <v>233</v>
      </c>
      <c r="F160" s="214" t="s">
        <v>234</v>
      </c>
      <c r="G160" s="215"/>
      <c r="H160" s="215"/>
      <c r="I160" s="215"/>
      <c r="J160" s="136" t="s">
        <v>176</v>
      </c>
      <c r="K160" s="137">
        <v>7.07</v>
      </c>
      <c r="L160" s="216">
        <v>0</v>
      </c>
      <c r="M160" s="215"/>
      <c r="N160" s="217">
        <f>ROUND($L$160*$K$160,2)</f>
        <v>0</v>
      </c>
      <c r="O160" s="211"/>
      <c r="P160" s="211"/>
      <c r="Q160" s="211"/>
      <c r="R160" s="24"/>
      <c r="T160" s="131"/>
      <c r="U160" s="30" t="s">
        <v>40</v>
      </c>
      <c r="V160" s="132">
        <v>0</v>
      </c>
      <c r="W160" s="132">
        <f>$V$160*$K$160</f>
        <v>0</v>
      </c>
      <c r="X160" s="132">
        <v>0.108</v>
      </c>
      <c r="Y160" s="132">
        <f>$X$160*$K$160</f>
        <v>0.76356</v>
      </c>
      <c r="Z160" s="132">
        <v>0</v>
      </c>
      <c r="AA160" s="133">
        <f>$Z$160*$K$160</f>
        <v>0</v>
      </c>
      <c r="AR160" s="6" t="s">
        <v>194</v>
      </c>
      <c r="AT160" s="6" t="s">
        <v>201</v>
      </c>
      <c r="AU160" s="6" t="s">
        <v>103</v>
      </c>
      <c r="AY160" s="6" t="s">
        <v>172</v>
      </c>
      <c r="BE160" s="82">
        <f>IF($U$160="základní",$N$160,0)</f>
        <v>0</v>
      </c>
      <c r="BF160" s="82">
        <f>IF($U$160="snížená",$N$160,0)</f>
        <v>0</v>
      </c>
      <c r="BG160" s="82">
        <f>IF($U$160="zákl. přenesena",$N$160,0)</f>
        <v>0</v>
      </c>
      <c r="BH160" s="82">
        <f>IF($U$160="sníž. přenesena",$N$160,0)</f>
        <v>0</v>
      </c>
      <c r="BI160" s="82">
        <f>IF($U$160="nulová",$N$160,0)</f>
        <v>0</v>
      </c>
      <c r="BJ160" s="6" t="s">
        <v>103</v>
      </c>
    </row>
    <row r="161" spans="2:51" s="117" customFormat="1" ht="30.75" customHeight="1">
      <c r="B161" s="118"/>
      <c r="C161" s="119"/>
      <c r="D161" s="126" t="s">
        <v>131</v>
      </c>
      <c r="E161" s="119"/>
      <c r="F161" s="119"/>
      <c r="G161" s="119"/>
      <c r="H161" s="119"/>
      <c r="I161" s="119"/>
      <c r="J161" s="119"/>
      <c r="K161" s="119"/>
      <c r="L161" s="119"/>
      <c r="M161" s="119"/>
      <c r="N161" s="221">
        <f>SUM($N$162:$N$199)</f>
        <v>0</v>
      </c>
      <c r="O161" s="220"/>
      <c r="P161" s="220"/>
      <c r="Q161" s="220"/>
      <c r="R161" s="121"/>
      <c r="T161" s="122"/>
      <c r="U161" s="119"/>
      <c r="V161" s="119"/>
      <c r="W161" s="123">
        <f>SUM($W$162:$W$199)</f>
        <v>2510.5158140000003</v>
      </c>
      <c r="X161" s="119"/>
      <c r="Y161" s="123">
        <f>SUM($Y$162:$Y$199)</f>
        <v>86.88020438000002</v>
      </c>
      <c r="Z161" s="119"/>
      <c r="AA161" s="124">
        <f>SUM($AA$162:$AA$199)</f>
        <v>24.451</v>
      </c>
      <c r="AR161" s="125" t="s">
        <v>17</v>
      </c>
      <c r="AT161" s="125" t="s">
        <v>72</v>
      </c>
      <c r="AU161" s="125" t="s">
        <v>17</v>
      </c>
      <c r="AY161" s="125" t="s">
        <v>172</v>
      </c>
    </row>
    <row r="162" spans="2:62" s="6" customFormat="1" ht="27" customHeight="1">
      <c r="B162" s="22"/>
      <c r="C162" s="127" t="s">
        <v>235</v>
      </c>
      <c r="D162" s="127" t="s">
        <v>173</v>
      </c>
      <c r="E162" s="128" t="s">
        <v>236</v>
      </c>
      <c r="F162" s="210" t="s">
        <v>237</v>
      </c>
      <c r="G162" s="211"/>
      <c r="H162" s="211"/>
      <c r="I162" s="211"/>
      <c r="J162" s="129" t="s">
        <v>176</v>
      </c>
      <c r="K162" s="130">
        <v>105.55</v>
      </c>
      <c r="L162" s="212">
        <v>0</v>
      </c>
      <c r="M162" s="211"/>
      <c r="N162" s="213">
        <f>ROUND($L$162*$K$162,2)</f>
        <v>0</v>
      </c>
      <c r="O162" s="211"/>
      <c r="P162" s="211"/>
      <c r="Q162" s="211"/>
      <c r="R162" s="24"/>
      <c r="T162" s="131"/>
      <c r="U162" s="30" t="s">
        <v>40</v>
      </c>
      <c r="V162" s="132">
        <v>0.117</v>
      </c>
      <c r="W162" s="132">
        <f>$V$162*$K$162</f>
        <v>12.349350000000001</v>
      </c>
      <c r="X162" s="132">
        <v>0.00735</v>
      </c>
      <c r="Y162" s="132">
        <f>$X$162*$K$162</f>
        <v>0.7757925</v>
      </c>
      <c r="Z162" s="132">
        <v>0</v>
      </c>
      <c r="AA162" s="133">
        <f>$Z$162*$K$162</f>
        <v>0</v>
      </c>
      <c r="AR162" s="6" t="s">
        <v>116</v>
      </c>
      <c r="AT162" s="6" t="s">
        <v>173</v>
      </c>
      <c r="AU162" s="6" t="s">
        <v>103</v>
      </c>
      <c r="AY162" s="6" t="s">
        <v>172</v>
      </c>
      <c r="BE162" s="82">
        <f>IF($U$162="základní",$N$162,0)</f>
        <v>0</v>
      </c>
      <c r="BF162" s="82">
        <f>IF($U$162="snížená",$N$162,0)</f>
        <v>0</v>
      </c>
      <c r="BG162" s="82">
        <f>IF($U$162="zákl. přenesena",$N$162,0)</f>
        <v>0</v>
      </c>
      <c r="BH162" s="82">
        <f>IF($U$162="sníž. přenesena",$N$162,0)</f>
        <v>0</v>
      </c>
      <c r="BI162" s="82">
        <f>IF($U$162="nulová",$N$162,0)</f>
        <v>0</v>
      </c>
      <c r="BJ162" s="6" t="s">
        <v>103</v>
      </c>
    </row>
    <row r="163" spans="2:62" s="6" customFormat="1" ht="27" customHeight="1">
      <c r="B163" s="22"/>
      <c r="C163" s="127" t="s">
        <v>238</v>
      </c>
      <c r="D163" s="127" t="s">
        <v>173</v>
      </c>
      <c r="E163" s="128" t="s">
        <v>239</v>
      </c>
      <c r="F163" s="210" t="s">
        <v>240</v>
      </c>
      <c r="G163" s="211"/>
      <c r="H163" s="211"/>
      <c r="I163" s="211"/>
      <c r="J163" s="129" t="s">
        <v>176</v>
      </c>
      <c r="K163" s="130">
        <v>105.55</v>
      </c>
      <c r="L163" s="212">
        <v>0</v>
      </c>
      <c r="M163" s="211"/>
      <c r="N163" s="213">
        <f>ROUND($L$163*$K$163,2)</f>
        <v>0</v>
      </c>
      <c r="O163" s="211"/>
      <c r="P163" s="211"/>
      <c r="Q163" s="211"/>
      <c r="R163" s="24"/>
      <c r="T163" s="131"/>
      <c r="U163" s="30" t="s">
        <v>40</v>
      </c>
      <c r="V163" s="132">
        <v>0.47</v>
      </c>
      <c r="W163" s="132">
        <f>$V$163*$K$163</f>
        <v>49.6085</v>
      </c>
      <c r="X163" s="132">
        <v>0.01838</v>
      </c>
      <c r="Y163" s="132">
        <f>$X$163*$K$163</f>
        <v>1.940009</v>
      </c>
      <c r="Z163" s="132">
        <v>0</v>
      </c>
      <c r="AA163" s="133">
        <f>$Z$163*$K$163</f>
        <v>0</v>
      </c>
      <c r="AR163" s="6" t="s">
        <v>116</v>
      </c>
      <c r="AT163" s="6" t="s">
        <v>173</v>
      </c>
      <c r="AU163" s="6" t="s">
        <v>103</v>
      </c>
      <c r="AY163" s="6" t="s">
        <v>172</v>
      </c>
      <c r="BE163" s="82">
        <f>IF($U$163="základní",$N$163,0)</f>
        <v>0</v>
      </c>
      <c r="BF163" s="82">
        <f>IF($U$163="snížená",$N$163,0)</f>
        <v>0</v>
      </c>
      <c r="BG163" s="82">
        <f>IF($U$163="zákl. přenesena",$N$163,0)</f>
        <v>0</v>
      </c>
      <c r="BH163" s="82">
        <f>IF($U$163="sníž. přenesena",$N$163,0)</f>
        <v>0</v>
      </c>
      <c r="BI163" s="82">
        <f>IF($U$163="nulová",$N$163,0)</f>
        <v>0</v>
      </c>
      <c r="BJ163" s="6" t="s">
        <v>103</v>
      </c>
    </row>
    <row r="164" spans="2:62" s="6" customFormat="1" ht="27" customHeight="1">
      <c r="B164" s="22"/>
      <c r="C164" s="127" t="s">
        <v>241</v>
      </c>
      <c r="D164" s="127" t="s">
        <v>173</v>
      </c>
      <c r="E164" s="128" t="s">
        <v>242</v>
      </c>
      <c r="F164" s="210" t="s">
        <v>243</v>
      </c>
      <c r="G164" s="211"/>
      <c r="H164" s="211"/>
      <c r="I164" s="211"/>
      <c r="J164" s="129" t="s">
        <v>176</v>
      </c>
      <c r="K164" s="130">
        <v>219.1</v>
      </c>
      <c r="L164" s="212">
        <v>0</v>
      </c>
      <c r="M164" s="211"/>
      <c r="N164" s="213">
        <f>ROUND($L$164*$K$164,2)</f>
        <v>0</v>
      </c>
      <c r="O164" s="211"/>
      <c r="P164" s="211"/>
      <c r="Q164" s="211"/>
      <c r="R164" s="24"/>
      <c r="T164" s="131"/>
      <c r="U164" s="30" t="s">
        <v>40</v>
      </c>
      <c r="V164" s="132">
        <v>0.09</v>
      </c>
      <c r="W164" s="132">
        <f>$V$164*$K$164</f>
        <v>19.718999999999998</v>
      </c>
      <c r="X164" s="132">
        <v>0.0079</v>
      </c>
      <c r="Y164" s="132">
        <f>$X$164*$K$164</f>
        <v>1.73089</v>
      </c>
      <c r="Z164" s="132">
        <v>0</v>
      </c>
      <c r="AA164" s="133">
        <f>$Z$164*$K$164</f>
        <v>0</v>
      </c>
      <c r="AR164" s="6" t="s">
        <v>116</v>
      </c>
      <c r="AT164" s="6" t="s">
        <v>173</v>
      </c>
      <c r="AU164" s="6" t="s">
        <v>103</v>
      </c>
      <c r="AY164" s="6" t="s">
        <v>172</v>
      </c>
      <c r="BE164" s="82">
        <f>IF($U$164="základní",$N$164,0)</f>
        <v>0</v>
      </c>
      <c r="BF164" s="82">
        <f>IF($U$164="snížená",$N$164,0)</f>
        <v>0</v>
      </c>
      <c r="BG164" s="82">
        <f>IF($U$164="zákl. přenesena",$N$164,0)</f>
        <v>0</v>
      </c>
      <c r="BH164" s="82">
        <f>IF($U$164="sníž. přenesena",$N$164,0)</f>
        <v>0</v>
      </c>
      <c r="BI164" s="82">
        <f>IF($U$164="nulová",$N$164,0)</f>
        <v>0</v>
      </c>
      <c r="BJ164" s="6" t="s">
        <v>103</v>
      </c>
    </row>
    <row r="165" spans="2:62" s="6" customFormat="1" ht="27" customHeight="1">
      <c r="B165" s="22"/>
      <c r="C165" s="127" t="s">
        <v>244</v>
      </c>
      <c r="D165" s="127" t="s">
        <v>173</v>
      </c>
      <c r="E165" s="128" t="s">
        <v>245</v>
      </c>
      <c r="F165" s="210" t="s">
        <v>246</v>
      </c>
      <c r="G165" s="211"/>
      <c r="H165" s="211"/>
      <c r="I165" s="211"/>
      <c r="J165" s="129" t="s">
        <v>247</v>
      </c>
      <c r="K165" s="130">
        <v>91.254</v>
      </c>
      <c r="L165" s="212">
        <v>0</v>
      </c>
      <c r="M165" s="211"/>
      <c r="N165" s="213">
        <f>ROUND($L$165*$K$165,2)</f>
        <v>0</v>
      </c>
      <c r="O165" s="211"/>
      <c r="P165" s="211"/>
      <c r="Q165" s="211"/>
      <c r="R165" s="24"/>
      <c r="T165" s="131"/>
      <c r="U165" s="30" t="s">
        <v>40</v>
      </c>
      <c r="V165" s="132">
        <v>0.37</v>
      </c>
      <c r="W165" s="132">
        <f>$V$165*$K$165</f>
        <v>33.763980000000004</v>
      </c>
      <c r="X165" s="132">
        <v>0.0015</v>
      </c>
      <c r="Y165" s="132">
        <f>$X$165*$K$165</f>
        <v>0.136881</v>
      </c>
      <c r="Z165" s="132">
        <v>0</v>
      </c>
      <c r="AA165" s="133">
        <f>$Z$165*$K$165</f>
        <v>0</v>
      </c>
      <c r="AR165" s="6" t="s">
        <v>116</v>
      </c>
      <c r="AT165" s="6" t="s">
        <v>173</v>
      </c>
      <c r="AU165" s="6" t="s">
        <v>103</v>
      </c>
      <c r="AY165" s="6" t="s">
        <v>172</v>
      </c>
      <c r="BE165" s="82">
        <f>IF($U$165="základní",$N$165,0)</f>
        <v>0</v>
      </c>
      <c r="BF165" s="82">
        <f>IF($U$165="snížená",$N$165,0)</f>
        <v>0</v>
      </c>
      <c r="BG165" s="82">
        <f>IF($U$165="zákl. přenesena",$N$165,0)</f>
        <v>0</v>
      </c>
      <c r="BH165" s="82">
        <f>IF($U$165="sníž. přenesena",$N$165,0)</f>
        <v>0</v>
      </c>
      <c r="BI165" s="82">
        <f>IF($U$165="nulová",$N$165,0)</f>
        <v>0</v>
      </c>
      <c r="BJ165" s="6" t="s">
        <v>103</v>
      </c>
    </row>
    <row r="166" spans="2:62" s="6" customFormat="1" ht="15.75" customHeight="1">
      <c r="B166" s="22"/>
      <c r="C166" s="127" t="s">
        <v>248</v>
      </c>
      <c r="D166" s="127" t="s">
        <v>173</v>
      </c>
      <c r="E166" s="128" t="s">
        <v>249</v>
      </c>
      <c r="F166" s="210" t="s">
        <v>250</v>
      </c>
      <c r="G166" s="211"/>
      <c r="H166" s="211"/>
      <c r="I166" s="211"/>
      <c r="J166" s="129" t="s">
        <v>176</v>
      </c>
      <c r="K166" s="130">
        <v>23</v>
      </c>
      <c r="L166" s="212">
        <v>0</v>
      </c>
      <c r="M166" s="211"/>
      <c r="N166" s="213">
        <f>ROUND($L$166*$K$166,2)</f>
        <v>0</v>
      </c>
      <c r="O166" s="211"/>
      <c r="P166" s="211"/>
      <c r="Q166" s="211"/>
      <c r="R166" s="24"/>
      <c r="T166" s="131"/>
      <c r="U166" s="30" t="s">
        <v>40</v>
      </c>
      <c r="V166" s="132">
        <v>0.035</v>
      </c>
      <c r="W166" s="132">
        <f>$V$166*$K$166</f>
        <v>0.805</v>
      </c>
      <c r="X166" s="132">
        <v>0.00025</v>
      </c>
      <c r="Y166" s="132">
        <f>$X$166*$K$166</f>
        <v>0.00575</v>
      </c>
      <c r="Z166" s="132">
        <v>0</v>
      </c>
      <c r="AA166" s="133">
        <f>$Z$166*$K$166</f>
        <v>0</v>
      </c>
      <c r="AR166" s="6" t="s">
        <v>116</v>
      </c>
      <c r="AT166" s="6" t="s">
        <v>173</v>
      </c>
      <c r="AU166" s="6" t="s">
        <v>103</v>
      </c>
      <c r="AY166" s="6" t="s">
        <v>172</v>
      </c>
      <c r="BE166" s="82">
        <f>IF($U$166="základní",$N$166,0)</f>
        <v>0</v>
      </c>
      <c r="BF166" s="82">
        <f>IF($U$166="snížená",$N$166,0)</f>
        <v>0</v>
      </c>
      <c r="BG166" s="82">
        <f>IF($U$166="zákl. přenesena",$N$166,0)</f>
        <v>0</v>
      </c>
      <c r="BH166" s="82">
        <f>IF($U$166="sníž. přenesena",$N$166,0)</f>
        <v>0</v>
      </c>
      <c r="BI166" s="82">
        <f>IF($U$166="nulová",$N$166,0)</f>
        <v>0</v>
      </c>
      <c r="BJ166" s="6" t="s">
        <v>103</v>
      </c>
    </row>
    <row r="167" spans="2:62" s="6" customFormat="1" ht="15.75" customHeight="1">
      <c r="B167" s="22"/>
      <c r="C167" s="127" t="s">
        <v>251</v>
      </c>
      <c r="D167" s="127" t="s">
        <v>173</v>
      </c>
      <c r="E167" s="128" t="s">
        <v>252</v>
      </c>
      <c r="F167" s="210" t="s">
        <v>253</v>
      </c>
      <c r="G167" s="211"/>
      <c r="H167" s="211"/>
      <c r="I167" s="211"/>
      <c r="J167" s="129" t="s">
        <v>176</v>
      </c>
      <c r="K167" s="130">
        <v>23</v>
      </c>
      <c r="L167" s="212">
        <v>0</v>
      </c>
      <c r="M167" s="211"/>
      <c r="N167" s="213">
        <f>ROUND($L$167*$K$167,2)</f>
        <v>0</v>
      </c>
      <c r="O167" s="211"/>
      <c r="P167" s="211"/>
      <c r="Q167" s="211"/>
      <c r="R167" s="24"/>
      <c r="T167" s="131"/>
      <c r="U167" s="30" t="s">
        <v>40</v>
      </c>
      <c r="V167" s="132">
        <v>0.035</v>
      </c>
      <c r="W167" s="132">
        <f>$V$167*$K$167</f>
        <v>0.805</v>
      </c>
      <c r="X167" s="132">
        <v>0.00025</v>
      </c>
      <c r="Y167" s="132">
        <f>$X$167*$K$167</f>
        <v>0.00575</v>
      </c>
      <c r="Z167" s="132">
        <v>0</v>
      </c>
      <c r="AA167" s="133">
        <f>$Z$167*$K$167</f>
        <v>0</v>
      </c>
      <c r="AR167" s="6" t="s">
        <v>116</v>
      </c>
      <c r="AT167" s="6" t="s">
        <v>173</v>
      </c>
      <c r="AU167" s="6" t="s">
        <v>103</v>
      </c>
      <c r="AY167" s="6" t="s">
        <v>172</v>
      </c>
      <c r="BE167" s="82">
        <f>IF($U$167="základní",$N$167,0)</f>
        <v>0</v>
      </c>
      <c r="BF167" s="82">
        <f>IF($U$167="snížená",$N$167,0)</f>
        <v>0</v>
      </c>
      <c r="BG167" s="82">
        <f>IF($U$167="zákl. přenesena",$N$167,0)</f>
        <v>0</v>
      </c>
      <c r="BH167" s="82">
        <f>IF($U$167="sníž. přenesena",$N$167,0)</f>
        <v>0</v>
      </c>
      <c r="BI167" s="82">
        <f>IF($U$167="nulová",$N$167,0)</f>
        <v>0</v>
      </c>
      <c r="BJ167" s="6" t="s">
        <v>103</v>
      </c>
    </row>
    <row r="168" spans="2:62" s="6" customFormat="1" ht="27" customHeight="1">
      <c r="B168" s="22"/>
      <c r="C168" s="127" t="s">
        <v>254</v>
      </c>
      <c r="D168" s="127" t="s">
        <v>173</v>
      </c>
      <c r="E168" s="128" t="s">
        <v>255</v>
      </c>
      <c r="F168" s="210" t="s">
        <v>256</v>
      </c>
      <c r="G168" s="211"/>
      <c r="H168" s="211"/>
      <c r="I168" s="211"/>
      <c r="J168" s="129" t="s">
        <v>176</v>
      </c>
      <c r="K168" s="130">
        <v>31.325</v>
      </c>
      <c r="L168" s="212">
        <v>0</v>
      </c>
      <c r="M168" s="211"/>
      <c r="N168" s="213">
        <f>ROUND($L$168*$K$168,2)</f>
        <v>0</v>
      </c>
      <c r="O168" s="211"/>
      <c r="P168" s="211"/>
      <c r="Q168" s="211"/>
      <c r="R168" s="24"/>
      <c r="T168" s="131"/>
      <c r="U168" s="30" t="s">
        <v>40</v>
      </c>
      <c r="V168" s="132">
        <v>0.06</v>
      </c>
      <c r="W168" s="132">
        <f>$V$168*$K$168</f>
        <v>1.8795</v>
      </c>
      <c r="X168" s="132">
        <v>0.00012</v>
      </c>
      <c r="Y168" s="132">
        <f>$X$168*$K$168</f>
        <v>0.003759</v>
      </c>
      <c r="Z168" s="132">
        <v>0</v>
      </c>
      <c r="AA168" s="133">
        <f>$Z$168*$K$168</f>
        <v>0</v>
      </c>
      <c r="AR168" s="6" t="s">
        <v>116</v>
      </c>
      <c r="AT168" s="6" t="s">
        <v>173</v>
      </c>
      <c r="AU168" s="6" t="s">
        <v>103</v>
      </c>
      <c r="AY168" s="6" t="s">
        <v>172</v>
      </c>
      <c r="BE168" s="82">
        <f>IF($U$168="základní",$N$168,0)</f>
        <v>0</v>
      </c>
      <c r="BF168" s="82">
        <f>IF($U$168="snížená",$N$168,0)</f>
        <v>0</v>
      </c>
      <c r="BG168" s="82">
        <f>IF($U$168="zákl. přenesena",$N$168,0)</f>
        <v>0</v>
      </c>
      <c r="BH168" s="82">
        <f>IF($U$168="sníž. přenesena",$N$168,0)</f>
        <v>0</v>
      </c>
      <c r="BI168" s="82">
        <f>IF($U$168="nulová",$N$168,0)</f>
        <v>0</v>
      </c>
      <c r="BJ168" s="6" t="s">
        <v>103</v>
      </c>
    </row>
    <row r="169" spans="2:62" s="6" customFormat="1" ht="15.75" customHeight="1">
      <c r="B169" s="22"/>
      <c r="C169" s="127" t="s">
        <v>257</v>
      </c>
      <c r="D169" s="127" t="s">
        <v>173</v>
      </c>
      <c r="E169" s="128" t="s">
        <v>258</v>
      </c>
      <c r="F169" s="210" t="s">
        <v>259</v>
      </c>
      <c r="G169" s="211"/>
      <c r="H169" s="211"/>
      <c r="I169" s="211"/>
      <c r="J169" s="129" t="s">
        <v>260</v>
      </c>
      <c r="K169" s="130">
        <v>29</v>
      </c>
      <c r="L169" s="212">
        <v>0</v>
      </c>
      <c r="M169" s="211"/>
      <c r="N169" s="213">
        <f>ROUND($L$169*$K$169,2)</f>
        <v>0</v>
      </c>
      <c r="O169" s="211"/>
      <c r="P169" s="211"/>
      <c r="Q169" s="211"/>
      <c r="R169" s="24"/>
      <c r="T169" s="131"/>
      <c r="U169" s="30" t="s">
        <v>40</v>
      </c>
      <c r="V169" s="132">
        <v>0</v>
      </c>
      <c r="W169" s="132">
        <f>$V$169*$K$169</f>
        <v>0</v>
      </c>
      <c r="X169" s="132">
        <v>0</v>
      </c>
      <c r="Y169" s="132">
        <f>$X$169*$K$169</f>
        <v>0</v>
      </c>
      <c r="Z169" s="132">
        <v>0</v>
      </c>
      <c r="AA169" s="133">
        <f>$Z$169*$K$169</f>
        <v>0</v>
      </c>
      <c r="AR169" s="6" t="s">
        <v>218</v>
      </c>
      <c r="AT169" s="6" t="s">
        <v>173</v>
      </c>
      <c r="AU169" s="6" t="s">
        <v>103</v>
      </c>
      <c r="AY169" s="6" t="s">
        <v>172</v>
      </c>
      <c r="BE169" s="82">
        <f>IF($U$169="základní",$N$169,0)</f>
        <v>0</v>
      </c>
      <c r="BF169" s="82">
        <f>IF($U$169="snížená",$N$169,0)</f>
        <v>0</v>
      </c>
      <c r="BG169" s="82">
        <f>IF($U$169="zákl. přenesena",$N$169,0)</f>
        <v>0</v>
      </c>
      <c r="BH169" s="82">
        <f>IF($U$169="sníž. přenesena",$N$169,0)</f>
        <v>0</v>
      </c>
      <c r="BI169" s="82">
        <f>IF($U$169="nulová",$N$169,0)</f>
        <v>0</v>
      </c>
      <c r="BJ169" s="6" t="s">
        <v>103</v>
      </c>
    </row>
    <row r="170" spans="2:62" s="6" customFormat="1" ht="27" customHeight="1">
      <c r="B170" s="22"/>
      <c r="C170" s="127" t="s">
        <v>261</v>
      </c>
      <c r="D170" s="127" t="s">
        <v>173</v>
      </c>
      <c r="E170" s="128" t="s">
        <v>262</v>
      </c>
      <c r="F170" s="210" t="s">
        <v>263</v>
      </c>
      <c r="G170" s="211"/>
      <c r="H170" s="211"/>
      <c r="I170" s="211"/>
      <c r="J170" s="129" t="s">
        <v>176</v>
      </c>
      <c r="K170" s="130">
        <v>0.21</v>
      </c>
      <c r="L170" s="212">
        <v>0</v>
      </c>
      <c r="M170" s="211"/>
      <c r="N170" s="213">
        <f>ROUND($L$170*$K$170,2)</f>
        <v>0</v>
      </c>
      <c r="O170" s="211"/>
      <c r="P170" s="211"/>
      <c r="Q170" s="211"/>
      <c r="R170" s="24"/>
      <c r="T170" s="131"/>
      <c r="U170" s="30" t="s">
        <v>40</v>
      </c>
      <c r="V170" s="132">
        <v>0.376</v>
      </c>
      <c r="W170" s="132">
        <f>$V$170*$K$170</f>
        <v>0.07896</v>
      </c>
      <c r="X170" s="132">
        <v>0.00704</v>
      </c>
      <c r="Y170" s="132">
        <f>$X$170*$K$170</f>
        <v>0.0014784</v>
      </c>
      <c r="Z170" s="132">
        <v>0</v>
      </c>
      <c r="AA170" s="133">
        <f>$Z$170*$K$170</f>
        <v>0</v>
      </c>
      <c r="AR170" s="6" t="s">
        <v>116</v>
      </c>
      <c r="AT170" s="6" t="s">
        <v>173</v>
      </c>
      <c r="AU170" s="6" t="s">
        <v>103</v>
      </c>
      <c r="AY170" s="6" t="s">
        <v>172</v>
      </c>
      <c r="BE170" s="82">
        <f>IF($U$170="základní",$N$170,0)</f>
        <v>0</v>
      </c>
      <c r="BF170" s="82">
        <f>IF($U$170="snížená",$N$170,0)</f>
        <v>0</v>
      </c>
      <c r="BG170" s="82">
        <f>IF($U$170="zákl. přenesena",$N$170,0)</f>
        <v>0</v>
      </c>
      <c r="BH170" s="82">
        <f>IF($U$170="sníž. přenesena",$N$170,0)</f>
        <v>0</v>
      </c>
      <c r="BI170" s="82">
        <f>IF($U$170="nulová",$N$170,0)</f>
        <v>0</v>
      </c>
      <c r="BJ170" s="6" t="s">
        <v>103</v>
      </c>
    </row>
    <row r="171" spans="2:62" s="6" customFormat="1" ht="27" customHeight="1">
      <c r="B171" s="22"/>
      <c r="C171" s="127" t="s">
        <v>264</v>
      </c>
      <c r="D171" s="127" t="s">
        <v>173</v>
      </c>
      <c r="E171" s="128" t="s">
        <v>265</v>
      </c>
      <c r="F171" s="210" t="s">
        <v>266</v>
      </c>
      <c r="G171" s="211"/>
      <c r="H171" s="211"/>
      <c r="I171" s="211"/>
      <c r="J171" s="129" t="s">
        <v>176</v>
      </c>
      <c r="K171" s="130">
        <v>920</v>
      </c>
      <c r="L171" s="212">
        <v>0</v>
      </c>
      <c r="M171" s="211"/>
      <c r="N171" s="213">
        <f>ROUND($L$171*$K$171,2)</f>
        <v>0</v>
      </c>
      <c r="O171" s="211"/>
      <c r="P171" s="211"/>
      <c r="Q171" s="211"/>
      <c r="R171" s="24"/>
      <c r="T171" s="131"/>
      <c r="U171" s="30" t="s">
        <v>40</v>
      </c>
      <c r="V171" s="132">
        <v>0.087</v>
      </c>
      <c r="W171" s="132">
        <f>$V$171*$K$171</f>
        <v>80.03999999999999</v>
      </c>
      <c r="X171" s="132">
        <v>0.00735</v>
      </c>
      <c r="Y171" s="132">
        <f>$X$171*$K$171</f>
        <v>6.762</v>
      </c>
      <c r="Z171" s="132">
        <v>0</v>
      </c>
      <c r="AA171" s="133">
        <f>$Z$171*$K$171</f>
        <v>0</v>
      </c>
      <c r="AR171" s="6" t="s">
        <v>116</v>
      </c>
      <c r="AT171" s="6" t="s">
        <v>173</v>
      </c>
      <c r="AU171" s="6" t="s">
        <v>103</v>
      </c>
      <c r="AY171" s="6" t="s">
        <v>172</v>
      </c>
      <c r="BE171" s="82">
        <f>IF($U$171="základní",$N$171,0)</f>
        <v>0</v>
      </c>
      <c r="BF171" s="82">
        <f>IF($U$171="snížená",$N$171,0)</f>
        <v>0</v>
      </c>
      <c r="BG171" s="82">
        <f>IF($U$171="zákl. přenesena",$N$171,0)</f>
        <v>0</v>
      </c>
      <c r="BH171" s="82">
        <f>IF($U$171="sníž. přenesena",$N$171,0)</f>
        <v>0</v>
      </c>
      <c r="BI171" s="82">
        <f>IF($U$171="nulová",$N$171,0)</f>
        <v>0</v>
      </c>
      <c r="BJ171" s="6" t="s">
        <v>103</v>
      </c>
    </row>
    <row r="172" spans="2:62" s="6" customFormat="1" ht="27" customHeight="1">
      <c r="B172" s="22"/>
      <c r="C172" s="127" t="s">
        <v>267</v>
      </c>
      <c r="D172" s="127" t="s">
        <v>173</v>
      </c>
      <c r="E172" s="128" t="s">
        <v>265</v>
      </c>
      <c r="F172" s="210" t="s">
        <v>266</v>
      </c>
      <c r="G172" s="211"/>
      <c r="H172" s="211"/>
      <c r="I172" s="211"/>
      <c r="J172" s="129" t="s">
        <v>176</v>
      </c>
      <c r="K172" s="130">
        <v>15</v>
      </c>
      <c r="L172" s="212">
        <v>0</v>
      </c>
      <c r="M172" s="211"/>
      <c r="N172" s="213">
        <f>ROUND($L$172*$K$172,2)</f>
        <v>0</v>
      </c>
      <c r="O172" s="211"/>
      <c r="P172" s="211"/>
      <c r="Q172" s="211"/>
      <c r="R172" s="24"/>
      <c r="T172" s="131"/>
      <c r="U172" s="30" t="s">
        <v>40</v>
      </c>
      <c r="V172" s="132">
        <v>0.087</v>
      </c>
      <c r="W172" s="132">
        <f>$V$172*$K$172</f>
        <v>1.305</v>
      </c>
      <c r="X172" s="132">
        <v>0.00735</v>
      </c>
      <c r="Y172" s="132">
        <f>$X$172*$K$172</f>
        <v>0.11025</v>
      </c>
      <c r="Z172" s="132">
        <v>0</v>
      </c>
      <c r="AA172" s="133">
        <f>$Z$172*$K$172</f>
        <v>0</v>
      </c>
      <c r="AR172" s="6" t="s">
        <v>116</v>
      </c>
      <c r="AT172" s="6" t="s">
        <v>173</v>
      </c>
      <c r="AU172" s="6" t="s">
        <v>103</v>
      </c>
      <c r="AY172" s="6" t="s">
        <v>172</v>
      </c>
      <c r="BE172" s="82">
        <f>IF($U$172="základní",$N$172,0)</f>
        <v>0</v>
      </c>
      <c r="BF172" s="82">
        <f>IF($U$172="snížená",$N$172,0)</f>
        <v>0</v>
      </c>
      <c r="BG172" s="82">
        <f>IF($U$172="zákl. přenesena",$N$172,0)</f>
        <v>0</v>
      </c>
      <c r="BH172" s="82">
        <f>IF($U$172="sníž. přenesena",$N$172,0)</f>
        <v>0</v>
      </c>
      <c r="BI172" s="82">
        <f>IF($U$172="nulová",$N$172,0)</f>
        <v>0</v>
      </c>
      <c r="BJ172" s="6" t="s">
        <v>103</v>
      </c>
    </row>
    <row r="173" spans="2:62" s="6" customFormat="1" ht="27" customHeight="1">
      <c r="B173" s="22"/>
      <c r="C173" s="127" t="s">
        <v>268</v>
      </c>
      <c r="D173" s="127" t="s">
        <v>173</v>
      </c>
      <c r="E173" s="128" t="s">
        <v>269</v>
      </c>
      <c r="F173" s="210" t="s">
        <v>270</v>
      </c>
      <c r="G173" s="211"/>
      <c r="H173" s="211"/>
      <c r="I173" s="211"/>
      <c r="J173" s="129" t="s">
        <v>247</v>
      </c>
      <c r="K173" s="130">
        <v>215</v>
      </c>
      <c r="L173" s="212">
        <v>0</v>
      </c>
      <c r="M173" s="211"/>
      <c r="N173" s="213">
        <f>ROUND($L$173*$K$173,2)</f>
        <v>0</v>
      </c>
      <c r="O173" s="211"/>
      <c r="P173" s="211"/>
      <c r="Q173" s="211"/>
      <c r="R173" s="24"/>
      <c r="T173" s="131"/>
      <c r="U173" s="30" t="s">
        <v>40</v>
      </c>
      <c r="V173" s="132">
        <v>0.11</v>
      </c>
      <c r="W173" s="132">
        <f>$V$173*$K$173</f>
        <v>23.65</v>
      </c>
      <c r="X173" s="132">
        <v>0</v>
      </c>
      <c r="Y173" s="132">
        <f>$X$173*$K$173</f>
        <v>0</v>
      </c>
      <c r="Z173" s="132">
        <v>0</v>
      </c>
      <c r="AA173" s="133">
        <f>$Z$173*$K$173</f>
        <v>0</v>
      </c>
      <c r="AR173" s="6" t="s">
        <v>116</v>
      </c>
      <c r="AT173" s="6" t="s">
        <v>173</v>
      </c>
      <c r="AU173" s="6" t="s">
        <v>103</v>
      </c>
      <c r="AY173" s="6" t="s">
        <v>172</v>
      </c>
      <c r="BE173" s="82">
        <f>IF($U$173="základní",$N$173,0)</f>
        <v>0</v>
      </c>
      <c r="BF173" s="82">
        <f>IF($U$173="snížená",$N$173,0)</f>
        <v>0</v>
      </c>
      <c r="BG173" s="82">
        <f>IF($U$173="zákl. přenesena",$N$173,0)</f>
        <v>0</v>
      </c>
      <c r="BH173" s="82">
        <f>IF($U$173="sníž. přenesena",$N$173,0)</f>
        <v>0</v>
      </c>
      <c r="BI173" s="82">
        <f>IF($U$173="nulová",$N$173,0)</f>
        <v>0</v>
      </c>
      <c r="BJ173" s="6" t="s">
        <v>103</v>
      </c>
    </row>
    <row r="174" spans="2:62" s="6" customFormat="1" ht="27" customHeight="1">
      <c r="B174" s="22"/>
      <c r="C174" s="134" t="s">
        <v>271</v>
      </c>
      <c r="D174" s="134" t="s">
        <v>201</v>
      </c>
      <c r="E174" s="135" t="s">
        <v>272</v>
      </c>
      <c r="F174" s="214" t="s">
        <v>273</v>
      </c>
      <c r="G174" s="215"/>
      <c r="H174" s="215"/>
      <c r="I174" s="215"/>
      <c r="J174" s="136" t="s">
        <v>247</v>
      </c>
      <c r="K174" s="137">
        <v>225.75</v>
      </c>
      <c r="L174" s="216">
        <v>0</v>
      </c>
      <c r="M174" s="215"/>
      <c r="N174" s="217">
        <f>ROUND($L$174*$K$174,2)</f>
        <v>0</v>
      </c>
      <c r="O174" s="211"/>
      <c r="P174" s="211"/>
      <c r="Q174" s="211"/>
      <c r="R174" s="24"/>
      <c r="T174" s="131"/>
      <c r="U174" s="30" t="s">
        <v>40</v>
      </c>
      <c r="V174" s="132">
        <v>0</v>
      </c>
      <c r="W174" s="132">
        <f>$V$174*$K$174</f>
        <v>0</v>
      </c>
      <c r="X174" s="132">
        <v>0.0001</v>
      </c>
      <c r="Y174" s="132">
        <f>$X$174*$K$174</f>
        <v>0.022575</v>
      </c>
      <c r="Z174" s="132">
        <v>0</v>
      </c>
      <c r="AA174" s="133">
        <f>$Z$174*$K$174</f>
        <v>0</v>
      </c>
      <c r="AR174" s="6" t="s">
        <v>194</v>
      </c>
      <c r="AT174" s="6" t="s">
        <v>201</v>
      </c>
      <c r="AU174" s="6" t="s">
        <v>103</v>
      </c>
      <c r="AY174" s="6" t="s">
        <v>172</v>
      </c>
      <c r="BE174" s="82">
        <f>IF($U$174="základní",$N$174,0)</f>
        <v>0</v>
      </c>
      <c r="BF174" s="82">
        <f>IF($U$174="snížená",$N$174,0)</f>
        <v>0</v>
      </c>
      <c r="BG174" s="82">
        <f>IF($U$174="zákl. přenesena",$N$174,0)</f>
        <v>0</v>
      </c>
      <c r="BH174" s="82">
        <f>IF($U$174="sníž. přenesena",$N$174,0)</f>
        <v>0</v>
      </c>
      <c r="BI174" s="82">
        <f>IF($U$174="nulová",$N$174,0)</f>
        <v>0</v>
      </c>
      <c r="BJ174" s="6" t="s">
        <v>103</v>
      </c>
    </row>
    <row r="175" spans="2:62" s="6" customFormat="1" ht="27" customHeight="1">
      <c r="B175" s="22"/>
      <c r="C175" s="127" t="s">
        <v>274</v>
      </c>
      <c r="D175" s="127" t="s">
        <v>173</v>
      </c>
      <c r="E175" s="128" t="s">
        <v>275</v>
      </c>
      <c r="F175" s="210" t="s">
        <v>276</v>
      </c>
      <c r="G175" s="211"/>
      <c r="H175" s="211"/>
      <c r="I175" s="211"/>
      <c r="J175" s="129" t="s">
        <v>176</v>
      </c>
      <c r="K175" s="130">
        <v>3</v>
      </c>
      <c r="L175" s="212">
        <v>0</v>
      </c>
      <c r="M175" s="211"/>
      <c r="N175" s="213">
        <f>ROUND($L$175*$K$175,2)</f>
        <v>0</v>
      </c>
      <c r="O175" s="211"/>
      <c r="P175" s="211"/>
      <c r="Q175" s="211"/>
      <c r="R175" s="24"/>
      <c r="T175" s="131"/>
      <c r="U175" s="30" t="s">
        <v>40</v>
      </c>
      <c r="V175" s="132">
        <v>1.08</v>
      </c>
      <c r="W175" s="132">
        <f>$V$175*$K$175</f>
        <v>3.24</v>
      </c>
      <c r="X175" s="132">
        <v>0.0085</v>
      </c>
      <c r="Y175" s="132">
        <f>$X$175*$K$175</f>
        <v>0.025500000000000002</v>
      </c>
      <c r="Z175" s="132">
        <v>0</v>
      </c>
      <c r="AA175" s="133">
        <f>$Z$175*$K$175</f>
        <v>0</v>
      </c>
      <c r="AR175" s="6" t="s">
        <v>116</v>
      </c>
      <c r="AT175" s="6" t="s">
        <v>173</v>
      </c>
      <c r="AU175" s="6" t="s">
        <v>103</v>
      </c>
      <c r="AY175" s="6" t="s">
        <v>172</v>
      </c>
      <c r="BE175" s="82">
        <f>IF($U$175="základní",$N$175,0)</f>
        <v>0</v>
      </c>
      <c r="BF175" s="82">
        <f>IF($U$175="snížená",$N$175,0)</f>
        <v>0</v>
      </c>
      <c r="BG175" s="82">
        <f>IF($U$175="zákl. přenesena",$N$175,0)</f>
        <v>0</v>
      </c>
      <c r="BH175" s="82">
        <f>IF($U$175="sníž. přenesena",$N$175,0)</f>
        <v>0</v>
      </c>
      <c r="BI175" s="82">
        <f>IF($U$175="nulová",$N$175,0)</f>
        <v>0</v>
      </c>
      <c r="BJ175" s="6" t="s">
        <v>103</v>
      </c>
    </row>
    <row r="176" spans="2:62" s="6" customFormat="1" ht="27" customHeight="1">
      <c r="B176" s="22"/>
      <c r="C176" s="134" t="s">
        <v>277</v>
      </c>
      <c r="D176" s="134" t="s">
        <v>201</v>
      </c>
      <c r="E176" s="135" t="s">
        <v>278</v>
      </c>
      <c r="F176" s="214" t="s">
        <v>279</v>
      </c>
      <c r="G176" s="215"/>
      <c r="H176" s="215"/>
      <c r="I176" s="215"/>
      <c r="J176" s="136" t="s">
        <v>176</v>
      </c>
      <c r="K176" s="137">
        <v>2.04</v>
      </c>
      <c r="L176" s="216">
        <v>0</v>
      </c>
      <c r="M176" s="215"/>
      <c r="N176" s="217">
        <f>ROUND($L$176*$K$176,2)</f>
        <v>0</v>
      </c>
      <c r="O176" s="211"/>
      <c r="P176" s="211"/>
      <c r="Q176" s="211"/>
      <c r="R176" s="24"/>
      <c r="T176" s="131"/>
      <c r="U176" s="30" t="s">
        <v>40</v>
      </c>
      <c r="V176" s="132">
        <v>0</v>
      </c>
      <c r="W176" s="132">
        <f>$V$176*$K$176</f>
        <v>0</v>
      </c>
      <c r="X176" s="132">
        <v>0.0034</v>
      </c>
      <c r="Y176" s="132">
        <f>$X$176*$K$176</f>
        <v>0.0069359999999999995</v>
      </c>
      <c r="Z176" s="132">
        <v>0</v>
      </c>
      <c r="AA176" s="133">
        <f>$Z$176*$K$176</f>
        <v>0</v>
      </c>
      <c r="AR176" s="6" t="s">
        <v>194</v>
      </c>
      <c r="AT176" s="6" t="s">
        <v>201</v>
      </c>
      <c r="AU176" s="6" t="s">
        <v>103</v>
      </c>
      <c r="AY176" s="6" t="s">
        <v>172</v>
      </c>
      <c r="BE176" s="82">
        <f>IF($U$176="základní",$N$176,0)</f>
        <v>0</v>
      </c>
      <c r="BF176" s="82">
        <f>IF($U$176="snížená",$N$176,0)</f>
        <v>0</v>
      </c>
      <c r="BG176" s="82">
        <f>IF($U$176="zákl. přenesena",$N$176,0)</f>
        <v>0</v>
      </c>
      <c r="BH176" s="82">
        <f>IF($U$176="sníž. přenesena",$N$176,0)</f>
        <v>0</v>
      </c>
      <c r="BI176" s="82">
        <f>IF($U$176="nulová",$N$176,0)</f>
        <v>0</v>
      </c>
      <c r="BJ176" s="6" t="s">
        <v>103</v>
      </c>
    </row>
    <row r="177" spans="2:62" s="6" customFormat="1" ht="27" customHeight="1">
      <c r="B177" s="22"/>
      <c r="C177" s="127" t="s">
        <v>280</v>
      </c>
      <c r="D177" s="127" t="s">
        <v>173</v>
      </c>
      <c r="E177" s="128" t="s">
        <v>281</v>
      </c>
      <c r="F177" s="210" t="s">
        <v>282</v>
      </c>
      <c r="G177" s="211"/>
      <c r="H177" s="211"/>
      <c r="I177" s="211"/>
      <c r="J177" s="129" t="s">
        <v>247</v>
      </c>
      <c r="K177" s="130">
        <v>211.6</v>
      </c>
      <c r="L177" s="212">
        <v>0</v>
      </c>
      <c r="M177" s="211"/>
      <c r="N177" s="213">
        <f>ROUND($L$177*$K$177,2)</f>
        <v>0</v>
      </c>
      <c r="O177" s="211"/>
      <c r="P177" s="211"/>
      <c r="Q177" s="211"/>
      <c r="R177" s="24"/>
      <c r="T177" s="131"/>
      <c r="U177" s="30" t="s">
        <v>40</v>
      </c>
      <c r="V177" s="132">
        <v>0.3</v>
      </c>
      <c r="W177" s="132">
        <f>$V$177*$K$177</f>
        <v>63.48</v>
      </c>
      <c r="X177" s="132">
        <v>0.0017</v>
      </c>
      <c r="Y177" s="132">
        <f>$X$177*$K$177</f>
        <v>0.35972</v>
      </c>
      <c r="Z177" s="132">
        <v>0</v>
      </c>
      <c r="AA177" s="133">
        <f>$Z$177*$K$177</f>
        <v>0</v>
      </c>
      <c r="AR177" s="6" t="s">
        <v>116</v>
      </c>
      <c r="AT177" s="6" t="s">
        <v>173</v>
      </c>
      <c r="AU177" s="6" t="s">
        <v>103</v>
      </c>
      <c r="AY177" s="6" t="s">
        <v>172</v>
      </c>
      <c r="BE177" s="82">
        <f>IF($U$177="základní",$N$177,0)</f>
        <v>0</v>
      </c>
      <c r="BF177" s="82">
        <f>IF($U$177="snížená",$N$177,0)</f>
        <v>0</v>
      </c>
      <c r="BG177" s="82">
        <f>IF($U$177="zákl. přenesena",$N$177,0)</f>
        <v>0</v>
      </c>
      <c r="BH177" s="82">
        <f>IF($U$177="sníž. přenesena",$N$177,0)</f>
        <v>0</v>
      </c>
      <c r="BI177" s="82">
        <f>IF($U$177="nulová",$N$177,0)</f>
        <v>0</v>
      </c>
      <c r="BJ177" s="6" t="s">
        <v>103</v>
      </c>
    </row>
    <row r="178" spans="2:62" s="6" customFormat="1" ht="27" customHeight="1">
      <c r="B178" s="22"/>
      <c r="C178" s="134" t="s">
        <v>283</v>
      </c>
      <c r="D178" s="134" t="s">
        <v>201</v>
      </c>
      <c r="E178" s="135" t="s">
        <v>284</v>
      </c>
      <c r="F178" s="214" t="s">
        <v>285</v>
      </c>
      <c r="G178" s="215"/>
      <c r="H178" s="215"/>
      <c r="I178" s="215"/>
      <c r="J178" s="136" t="s">
        <v>176</v>
      </c>
      <c r="K178" s="137">
        <v>222.18</v>
      </c>
      <c r="L178" s="216">
        <v>0</v>
      </c>
      <c r="M178" s="215"/>
      <c r="N178" s="217">
        <f>ROUND($L$178*$K$178,2)</f>
        <v>0</v>
      </c>
      <c r="O178" s="211"/>
      <c r="P178" s="211"/>
      <c r="Q178" s="211"/>
      <c r="R178" s="24"/>
      <c r="T178" s="131"/>
      <c r="U178" s="30" t="s">
        <v>40</v>
      </c>
      <c r="V178" s="132">
        <v>0</v>
      </c>
      <c r="W178" s="132">
        <f>$V$178*$K$178</f>
        <v>0</v>
      </c>
      <c r="X178" s="132">
        <v>0.00051</v>
      </c>
      <c r="Y178" s="132">
        <f>$X$178*$K$178</f>
        <v>0.11331180000000002</v>
      </c>
      <c r="Z178" s="132">
        <v>0</v>
      </c>
      <c r="AA178" s="133">
        <f>$Z$178*$K$178</f>
        <v>0</v>
      </c>
      <c r="AR178" s="6" t="s">
        <v>194</v>
      </c>
      <c r="AT178" s="6" t="s">
        <v>201</v>
      </c>
      <c r="AU178" s="6" t="s">
        <v>103</v>
      </c>
      <c r="AY178" s="6" t="s">
        <v>172</v>
      </c>
      <c r="BE178" s="82">
        <f>IF($U$178="základní",$N$178,0)</f>
        <v>0</v>
      </c>
      <c r="BF178" s="82">
        <f>IF($U$178="snížená",$N$178,0)</f>
        <v>0</v>
      </c>
      <c r="BG178" s="82">
        <f>IF($U$178="zákl. přenesena",$N$178,0)</f>
        <v>0</v>
      </c>
      <c r="BH178" s="82">
        <f>IF($U$178="sníž. přenesena",$N$178,0)</f>
        <v>0</v>
      </c>
      <c r="BI178" s="82">
        <f>IF($U$178="nulová",$N$178,0)</f>
        <v>0</v>
      </c>
      <c r="BJ178" s="6" t="s">
        <v>103</v>
      </c>
    </row>
    <row r="179" spans="2:62" s="6" customFormat="1" ht="15.75" customHeight="1">
      <c r="B179" s="22"/>
      <c r="C179" s="127" t="s">
        <v>286</v>
      </c>
      <c r="D179" s="127" t="s">
        <v>173</v>
      </c>
      <c r="E179" s="128" t="s">
        <v>287</v>
      </c>
      <c r="F179" s="210" t="s">
        <v>288</v>
      </c>
      <c r="G179" s="211"/>
      <c r="H179" s="211"/>
      <c r="I179" s="211"/>
      <c r="J179" s="129" t="s">
        <v>247</v>
      </c>
      <c r="K179" s="130">
        <v>338</v>
      </c>
      <c r="L179" s="212">
        <v>0</v>
      </c>
      <c r="M179" s="211"/>
      <c r="N179" s="213">
        <f>ROUND($L$179*$K$179,2)</f>
        <v>0</v>
      </c>
      <c r="O179" s="211"/>
      <c r="P179" s="211"/>
      <c r="Q179" s="211"/>
      <c r="R179" s="24"/>
      <c r="T179" s="131"/>
      <c r="U179" s="30" t="s">
        <v>40</v>
      </c>
      <c r="V179" s="132">
        <v>0.14</v>
      </c>
      <c r="W179" s="132">
        <f>$V$179*$K$179</f>
        <v>47.32000000000001</v>
      </c>
      <c r="X179" s="132">
        <v>0.00025</v>
      </c>
      <c r="Y179" s="132">
        <f>$X$179*$K$179</f>
        <v>0.0845</v>
      </c>
      <c r="Z179" s="132">
        <v>0</v>
      </c>
      <c r="AA179" s="133">
        <f>$Z$179*$K$179</f>
        <v>0</v>
      </c>
      <c r="AR179" s="6" t="s">
        <v>116</v>
      </c>
      <c r="AT179" s="6" t="s">
        <v>173</v>
      </c>
      <c r="AU179" s="6" t="s">
        <v>103</v>
      </c>
      <c r="AY179" s="6" t="s">
        <v>172</v>
      </c>
      <c r="BE179" s="82">
        <f>IF($U$179="základní",$N$179,0)</f>
        <v>0</v>
      </c>
      <c r="BF179" s="82">
        <f>IF($U$179="snížená",$N$179,0)</f>
        <v>0</v>
      </c>
      <c r="BG179" s="82">
        <f>IF($U$179="zákl. přenesena",$N$179,0)</f>
        <v>0</v>
      </c>
      <c r="BH179" s="82">
        <f>IF($U$179="sníž. přenesena",$N$179,0)</f>
        <v>0</v>
      </c>
      <c r="BI179" s="82">
        <f>IF($U$179="nulová",$N$179,0)</f>
        <v>0</v>
      </c>
      <c r="BJ179" s="6" t="s">
        <v>103</v>
      </c>
    </row>
    <row r="180" spans="2:62" s="6" customFormat="1" ht="15.75" customHeight="1">
      <c r="B180" s="22"/>
      <c r="C180" s="134" t="s">
        <v>289</v>
      </c>
      <c r="D180" s="134" t="s">
        <v>201</v>
      </c>
      <c r="E180" s="135" t="s">
        <v>290</v>
      </c>
      <c r="F180" s="214" t="s">
        <v>291</v>
      </c>
      <c r="G180" s="215"/>
      <c r="H180" s="215"/>
      <c r="I180" s="215"/>
      <c r="J180" s="136" t="s">
        <v>247</v>
      </c>
      <c r="K180" s="137">
        <v>372.645</v>
      </c>
      <c r="L180" s="216">
        <v>0</v>
      </c>
      <c r="M180" s="215"/>
      <c r="N180" s="217">
        <f>ROUND($L$180*$K$180,2)</f>
        <v>0</v>
      </c>
      <c r="O180" s="211"/>
      <c r="P180" s="211"/>
      <c r="Q180" s="211"/>
      <c r="R180" s="24"/>
      <c r="T180" s="131"/>
      <c r="U180" s="30" t="s">
        <v>40</v>
      </c>
      <c r="V180" s="132">
        <v>0</v>
      </c>
      <c r="W180" s="132">
        <f>$V$180*$K$180</f>
        <v>0</v>
      </c>
      <c r="X180" s="132">
        <v>0.0004</v>
      </c>
      <c r="Y180" s="132">
        <f>$X$180*$K$180</f>
        <v>0.149058</v>
      </c>
      <c r="Z180" s="132">
        <v>0</v>
      </c>
      <c r="AA180" s="133">
        <f>$Z$180*$K$180</f>
        <v>0</v>
      </c>
      <c r="AR180" s="6" t="s">
        <v>194</v>
      </c>
      <c r="AT180" s="6" t="s">
        <v>201</v>
      </c>
      <c r="AU180" s="6" t="s">
        <v>103</v>
      </c>
      <c r="AY180" s="6" t="s">
        <v>172</v>
      </c>
      <c r="BE180" s="82">
        <f>IF($U$180="základní",$N$180,0)</f>
        <v>0</v>
      </c>
      <c r="BF180" s="82">
        <f>IF($U$180="snížená",$N$180,0)</f>
        <v>0</v>
      </c>
      <c r="BG180" s="82">
        <f>IF($U$180="zákl. přenesena",$N$180,0)</f>
        <v>0</v>
      </c>
      <c r="BH180" s="82">
        <f>IF($U$180="sníž. přenesena",$N$180,0)</f>
        <v>0</v>
      </c>
      <c r="BI180" s="82">
        <f>IF($U$180="nulová",$N$180,0)</f>
        <v>0</v>
      </c>
      <c r="BJ180" s="6" t="s">
        <v>103</v>
      </c>
    </row>
    <row r="181" spans="2:62" s="6" customFormat="1" ht="27" customHeight="1">
      <c r="B181" s="22"/>
      <c r="C181" s="127" t="s">
        <v>292</v>
      </c>
      <c r="D181" s="127" t="s">
        <v>173</v>
      </c>
      <c r="E181" s="128" t="s">
        <v>293</v>
      </c>
      <c r="F181" s="210" t="s">
        <v>294</v>
      </c>
      <c r="G181" s="211"/>
      <c r="H181" s="211"/>
      <c r="I181" s="211"/>
      <c r="J181" s="129" t="s">
        <v>176</v>
      </c>
      <c r="K181" s="130">
        <v>19</v>
      </c>
      <c r="L181" s="212">
        <v>0</v>
      </c>
      <c r="M181" s="211"/>
      <c r="N181" s="213">
        <f>ROUND($L$181*$K$181,2)</f>
        <v>0</v>
      </c>
      <c r="O181" s="211"/>
      <c r="P181" s="211"/>
      <c r="Q181" s="211"/>
      <c r="R181" s="24"/>
      <c r="T181" s="131"/>
      <c r="U181" s="30" t="s">
        <v>40</v>
      </c>
      <c r="V181" s="132">
        <v>1.334</v>
      </c>
      <c r="W181" s="132">
        <f>$V$181*$K$181</f>
        <v>25.346</v>
      </c>
      <c r="X181" s="132">
        <v>0.12493</v>
      </c>
      <c r="Y181" s="132">
        <f>$X$181*$K$181</f>
        <v>2.37367</v>
      </c>
      <c r="Z181" s="132">
        <v>0</v>
      </c>
      <c r="AA181" s="133">
        <f>$Z$181*$K$181</f>
        <v>0</v>
      </c>
      <c r="AR181" s="6" t="s">
        <v>116</v>
      </c>
      <c r="AT181" s="6" t="s">
        <v>173</v>
      </c>
      <c r="AU181" s="6" t="s">
        <v>103</v>
      </c>
      <c r="AY181" s="6" t="s">
        <v>172</v>
      </c>
      <c r="BE181" s="82">
        <f>IF($U$181="základní",$N$181,0)</f>
        <v>0</v>
      </c>
      <c r="BF181" s="82">
        <f>IF($U$181="snížená",$N$181,0)</f>
        <v>0</v>
      </c>
      <c r="BG181" s="82">
        <f>IF($U$181="zákl. přenesena",$N$181,0)</f>
        <v>0</v>
      </c>
      <c r="BH181" s="82">
        <f>IF($U$181="sníž. přenesena",$N$181,0)</f>
        <v>0</v>
      </c>
      <c r="BI181" s="82">
        <f>IF($U$181="nulová",$N$181,0)</f>
        <v>0</v>
      </c>
      <c r="BJ181" s="6" t="s">
        <v>103</v>
      </c>
    </row>
    <row r="182" spans="2:62" s="6" customFormat="1" ht="27" customHeight="1">
      <c r="B182" s="22"/>
      <c r="C182" s="127" t="s">
        <v>295</v>
      </c>
      <c r="D182" s="127" t="s">
        <v>173</v>
      </c>
      <c r="E182" s="128" t="s">
        <v>296</v>
      </c>
      <c r="F182" s="210" t="s">
        <v>297</v>
      </c>
      <c r="G182" s="211"/>
      <c r="H182" s="211"/>
      <c r="I182" s="211"/>
      <c r="J182" s="129" t="s">
        <v>176</v>
      </c>
      <c r="K182" s="130">
        <v>19</v>
      </c>
      <c r="L182" s="212">
        <v>0</v>
      </c>
      <c r="M182" s="211"/>
      <c r="N182" s="213">
        <f>ROUND($L$182*$K$182,2)</f>
        <v>0</v>
      </c>
      <c r="O182" s="211"/>
      <c r="P182" s="211"/>
      <c r="Q182" s="211"/>
      <c r="R182" s="24"/>
      <c r="T182" s="131"/>
      <c r="U182" s="30" t="s">
        <v>40</v>
      </c>
      <c r="V182" s="132">
        <v>0.6</v>
      </c>
      <c r="W182" s="132">
        <f>$V$182*$K$182</f>
        <v>11.4</v>
      </c>
      <c r="X182" s="132">
        <v>0</v>
      </c>
      <c r="Y182" s="132">
        <f>$X$182*$K$182</f>
        <v>0</v>
      </c>
      <c r="Z182" s="132">
        <v>0</v>
      </c>
      <c r="AA182" s="133">
        <f>$Z$182*$K$182</f>
        <v>0</v>
      </c>
      <c r="AR182" s="6" t="s">
        <v>116</v>
      </c>
      <c r="AT182" s="6" t="s">
        <v>173</v>
      </c>
      <c r="AU182" s="6" t="s">
        <v>103</v>
      </c>
      <c r="AY182" s="6" t="s">
        <v>172</v>
      </c>
      <c r="BE182" s="82">
        <f>IF($U$182="základní",$N$182,0)</f>
        <v>0</v>
      </c>
      <c r="BF182" s="82">
        <f>IF($U$182="snížená",$N$182,0)</f>
        <v>0</v>
      </c>
      <c r="BG182" s="82">
        <f>IF($U$182="zákl. přenesena",$N$182,0)</f>
        <v>0</v>
      </c>
      <c r="BH182" s="82">
        <f>IF($U$182="sníž. přenesena",$N$182,0)</f>
        <v>0</v>
      </c>
      <c r="BI182" s="82">
        <f>IF($U$182="nulová",$N$182,0)</f>
        <v>0</v>
      </c>
      <c r="BJ182" s="6" t="s">
        <v>103</v>
      </c>
    </row>
    <row r="183" spans="2:62" s="6" customFormat="1" ht="27" customHeight="1">
      <c r="B183" s="22"/>
      <c r="C183" s="127" t="s">
        <v>298</v>
      </c>
      <c r="D183" s="127" t="s">
        <v>173</v>
      </c>
      <c r="E183" s="128" t="s">
        <v>299</v>
      </c>
      <c r="F183" s="210" t="s">
        <v>300</v>
      </c>
      <c r="G183" s="211"/>
      <c r="H183" s="211"/>
      <c r="I183" s="211"/>
      <c r="J183" s="129" t="s">
        <v>247</v>
      </c>
      <c r="K183" s="130">
        <v>3.6</v>
      </c>
      <c r="L183" s="212">
        <v>0</v>
      </c>
      <c r="M183" s="211"/>
      <c r="N183" s="213">
        <f>ROUND($L$183*$K$183,2)</f>
        <v>0</v>
      </c>
      <c r="O183" s="211"/>
      <c r="P183" s="211"/>
      <c r="Q183" s="211"/>
      <c r="R183" s="24"/>
      <c r="T183" s="131"/>
      <c r="U183" s="30" t="s">
        <v>40</v>
      </c>
      <c r="V183" s="132">
        <v>2</v>
      </c>
      <c r="W183" s="132">
        <f>$V$183*$K$183</f>
        <v>7.2</v>
      </c>
      <c r="X183" s="132">
        <v>0.01606</v>
      </c>
      <c r="Y183" s="132">
        <f>$X$183*$K$183</f>
        <v>0.057816000000000006</v>
      </c>
      <c r="Z183" s="132">
        <v>0</v>
      </c>
      <c r="AA183" s="133">
        <f>$Z$183*$K$183</f>
        <v>0</v>
      </c>
      <c r="AR183" s="6" t="s">
        <v>116</v>
      </c>
      <c r="AT183" s="6" t="s">
        <v>173</v>
      </c>
      <c r="AU183" s="6" t="s">
        <v>103</v>
      </c>
      <c r="AY183" s="6" t="s">
        <v>172</v>
      </c>
      <c r="BE183" s="82">
        <f>IF($U$183="základní",$N$183,0)</f>
        <v>0</v>
      </c>
      <c r="BF183" s="82">
        <f>IF($U$183="snížená",$N$183,0)</f>
        <v>0</v>
      </c>
      <c r="BG183" s="82">
        <f>IF($U$183="zákl. přenesena",$N$183,0)</f>
        <v>0</v>
      </c>
      <c r="BH183" s="82">
        <f>IF($U$183="sníž. přenesena",$N$183,0)</f>
        <v>0</v>
      </c>
      <c r="BI183" s="82">
        <f>IF($U$183="nulová",$N$183,0)</f>
        <v>0</v>
      </c>
      <c r="BJ183" s="6" t="s">
        <v>103</v>
      </c>
    </row>
    <row r="184" spans="2:62" s="6" customFormat="1" ht="27" customHeight="1">
      <c r="B184" s="22"/>
      <c r="C184" s="127" t="s">
        <v>301</v>
      </c>
      <c r="D184" s="127" t="s">
        <v>173</v>
      </c>
      <c r="E184" s="128" t="s">
        <v>302</v>
      </c>
      <c r="F184" s="210" t="s">
        <v>303</v>
      </c>
      <c r="G184" s="211"/>
      <c r="H184" s="211"/>
      <c r="I184" s="211"/>
      <c r="J184" s="129" t="s">
        <v>247</v>
      </c>
      <c r="K184" s="130">
        <v>3.6</v>
      </c>
      <c r="L184" s="212">
        <v>0</v>
      </c>
      <c r="M184" s="211"/>
      <c r="N184" s="213">
        <f>ROUND($L$184*$K$184,2)</f>
        <v>0</v>
      </c>
      <c r="O184" s="211"/>
      <c r="P184" s="211"/>
      <c r="Q184" s="211"/>
      <c r="R184" s="24"/>
      <c r="T184" s="131"/>
      <c r="U184" s="30" t="s">
        <v>40</v>
      </c>
      <c r="V184" s="132">
        <v>1.2</v>
      </c>
      <c r="W184" s="132">
        <f>$V$184*$K$184</f>
        <v>4.32</v>
      </c>
      <c r="X184" s="132">
        <v>0.02038</v>
      </c>
      <c r="Y184" s="132">
        <f>$X$184*$K$184</f>
        <v>0.073368</v>
      </c>
      <c r="Z184" s="132">
        <v>0</v>
      </c>
      <c r="AA184" s="133">
        <f>$Z$184*$K$184</f>
        <v>0</v>
      </c>
      <c r="AR184" s="6" t="s">
        <v>116</v>
      </c>
      <c r="AT184" s="6" t="s">
        <v>173</v>
      </c>
      <c r="AU184" s="6" t="s">
        <v>103</v>
      </c>
      <c r="AY184" s="6" t="s">
        <v>172</v>
      </c>
      <c r="BE184" s="82">
        <f>IF($U$184="základní",$N$184,0)</f>
        <v>0</v>
      </c>
      <c r="BF184" s="82">
        <f>IF($U$184="snížená",$N$184,0)</f>
        <v>0</v>
      </c>
      <c r="BG184" s="82">
        <f>IF($U$184="zákl. přenesena",$N$184,0)</f>
        <v>0</v>
      </c>
      <c r="BH184" s="82">
        <f>IF($U$184="sníž. přenesena",$N$184,0)</f>
        <v>0</v>
      </c>
      <c r="BI184" s="82">
        <f>IF($U$184="nulová",$N$184,0)</f>
        <v>0</v>
      </c>
      <c r="BJ184" s="6" t="s">
        <v>103</v>
      </c>
    </row>
    <row r="185" spans="2:62" s="6" customFormat="1" ht="39" customHeight="1">
      <c r="B185" s="22"/>
      <c r="C185" s="127" t="s">
        <v>304</v>
      </c>
      <c r="D185" s="127" t="s">
        <v>173</v>
      </c>
      <c r="E185" s="128" t="s">
        <v>305</v>
      </c>
      <c r="F185" s="210" t="s">
        <v>306</v>
      </c>
      <c r="G185" s="211"/>
      <c r="H185" s="211"/>
      <c r="I185" s="211"/>
      <c r="J185" s="129" t="s">
        <v>176</v>
      </c>
      <c r="K185" s="130">
        <v>15</v>
      </c>
      <c r="L185" s="212">
        <v>0</v>
      </c>
      <c r="M185" s="211"/>
      <c r="N185" s="213">
        <f>ROUND($L$185*$K$185,2)</f>
        <v>0</v>
      </c>
      <c r="O185" s="211"/>
      <c r="P185" s="211"/>
      <c r="Q185" s="211"/>
      <c r="R185" s="24"/>
      <c r="T185" s="131"/>
      <c r="U185" s="30" t="s">
        <v>40</v>
      </c>
      <c r="V185" s="132">
        <v>0.46</v>
      </c>
      <c r="W185" s="132">
        <f>$V$185*$K$185</f>
        <v>6.9</v>
      </c>
      <c r="X185" s="132">
        <v>0.02636</v>
      </c>
      <c r="Y185" s="132">
        <f>$X$185*$K$185</f>
        <v>0.39540000000000003</v>
      </c>
      <c r="Z185" s="132">
        <v>0</v>
      </c>
      <c r="AA185" s="133">
        <f>$Z$185*$K$185</f>
        <v>0</v>
      </c>
      <c r="AR185" s="6" t="s">
        <v>116</v>
      </c>
      <c r="AT185" s="6" t="s">
        <v>173</v>
      </c>
      <c r="AU185" s="6" t="s">
        <v>103</v>
      </c>
      <c r="AY185" s="6" t="s">
        <v>172</v>
      </c>
      <c r="BE185" s="82">
        <f>IF($U$185="základní",$N$185,0)</f>
        <v>0</v>
      </c>
      <c r="BF185" s="82">
        <f>IF($U$185="snížená",$N$185,0)</f>
        <v>0</v>
      </c>
      <c r="BG185" s="82">
        <f>IF($U$185="zákl. přenesena",$N$185,0)</f>
        <v>0</v>
      </c>
      <c r="BH185" s="82">
        <f>IF($U$185="sníž. přenesena",$N$185,0)</f>
        <v>0</v>
      </c>
      <c r="BI185" s="82">
        <f>IF($U$185="nulová",$N$185,0)</f>
        <v>0</v>
      </c>
      <c r="BJ185" s="6" t="s">
        <v>103</v>
      </c>
    </row>
    <row r="186" spans="2:62" s="6" customFormat="1" ht="39" customHeight="1">
      <c r="B186" s="22"/>
      <c r="C186" s="127" t="s">
        <v>307</v>
      </c>
      <c r="D186" s="127" t="s">
        <v>173</v>
      </c>
      <c r="E186" s="128" t="s">
        <v>308</v>
      </c>
      <c r="F186" s="210" t="s">
        <v>306</v>
      </c>
      <c r="G186" s="211"/>
      <c r="H186" s="211"/>
      <c r="I186" s="211"/>
      <c r="J186" s="129" t="s">
        <v>176</v>
      </c>
      <c r="K186" s="130">
        <v>500</v>
      </c>
      <c r="L186" s="212">
        <v>0</v>
      </c>
      <c r="M186" s="211"/>
      <c r="N186" s="213">
        <f>ROUND($L$186*$K$186,2)</f>
        <v>0</v>
      </c>
      <c r="O186" s="211"/>
      <c r="P186" s="211"/>
      <c r="Q186" s="211"/>
      <c r="R186" s="24"/>
      <c r="T186" s="131"/>
      <c r="U186" s="30" t="s">
        <v>40</v>
      </c>
      <c r="V186" s="132">
        <v>0.46</v>
      </c>
      <c r="W186" s="132">
        <f>$V$186*$K$186</f>
        <v>230</v>
      </c>
      <c r="X186" s="132">
        <v>0.02636</v>
      </c>
      <c r="Y186" s="132">
        <f>$X$186*$K$186</f>
        <v>13.180000000000001</v>
      </c>
      <c r="Z186" s="132">
        <v>0</v>
      </c>
      <c r="AA186" s="133">
        <f>$Z$186*$K$186</f>
        <v>0</v>
      </c>
      <c r="AR186" s="6" t="s">
        <v>116</v>
      </c>
      <c r="AT186" s="6" t="s">
        <v>173</v>
      </c>
      <c r="AU186" s="6" t="s">
        <v>103</v>
      </c>
      <c r="AY186" s="6" t="s">
        <v>172</v>
      </c>
      <c r="BE186" s="82">
        <f>IF($U$186="základní",$N$186,0)</f>
        <v>0</v>
      </c>
      <c r="BF186" s="82">
        <f>IF($U$186="snížená",$N$186,0)</f>
        <v>0</v>
      </c>
      <c r="BG186" s="82">
        <f>IF($U$186="zákl. přenesena",$N$186,0)</f>
        <v>0</v>
      </c>
      <c r="BH186" s="82">
        <f>IF($U$186="sníž. přenesena",$N$186,0)</f>
        <v>0</v>
      </c>
      <c r="BI186" s="82">
        <f>IF($U$186="nulová",$N$186,0)</f>
        <v>0</v>
      </c>
      <c r="BJ186" s="6" t="s">
        <v>103</v>
      </c>
    </row>
    <row r="187" spans="2:62" s="6" customFormat="1" ht="39" customHeight="1">
      <c r="B187" s="22"/>
      <c r="C187" s="127" t="s">
        <v>309</v>
      </c>
      <c r="D187" s="127" t="s">
        <v>173</v>
      </c>
      <c r="E187" s="128" t="s">
        <v>310</v>
      </c>
      <c r="F187" s="210" t="s">
        <v>311</v>
      </c>
      <c r="G187" s="211"/>
      <c r="H187" s="211"/>
      <c r="I187" s="211"/>
      <c r="J187" s="129" t="s">
        <v>176</v>
      </c>
      <c r="K187" s="130">
        <v>1500</v>
      </c>
      <c r="L187" s="212">
        <v>0</v>
      </c>
      <c r="M187" s="211"/>
      <c r="N187" s="213">
        <f>ROUND($L$187*$K$187,2)</f>
        <v>0</v>
      </c>
      <c r="O187" s="211"/>
      <c r="P187" s="211"/>
      <c r="Q187" s="211"/>
      <c r="R187" s="24"/>
      <c r="T187" s="131"/>
      <c r="U187" s="30" t="s">
        <v>40</v>
      </c>
      <c r="V187" s="132">
        <v>0.09</v>
      </c>
      <c r="W187" s="132">
        <f>$V$187*$K$187</f>
        <v>135</v>
      </c>
      <c r="X187" s="132">
        <v>0.0079</v>
      </c>
      <c r="Y187" s="132">
        <f>$X$187*$K$187</f>
        <v>11.850000000000001</v>
      </c>
      <c r="Z187" s="132">
        <v>0</v>
      </c>
      <c r="AA187" s="133">
        <f>$Z$187*$K$187</f>
        <v>0</v>
      </c>
      <c r="AR187" s="6" t="s">
        <v>116</v>
      </c>
      <c r="AT187" s="6" t="s">
        <v>173</v>
      </c>
      <c r="AU187" s="6" t="s">
        <v>103</v>
      </c>
      <c r="AY187" s="6" t="s">
        <v>172</v>
      </c>
      <c r="BE187" s="82">
        <f>IF($U$187="základní",$N$187,0)</f>
        <v>0</v>
      </c>
      <c r="BF187" s="82">
        <f>IF($U$187="snížená",$N$187,0)</f>
        <v>0</v>
      </c>
      <c r="BG187" s="82">
        <f>IF($U$187="zákl. přenesena",$N$187,0)</f>
        <v>0</v>
      </c>
      <c r="BH187" s="82">
        <f>IF($U$187="sníž. přenesena",$N$187,0)</f>
        <v>0</v>
      </c>
      <c r="BI187" s="82">
        <f>IF($U$187="nulová",$N$187,0)</f>
        <v>0</v>
      </c>
      <c r="BJ187" s="6" t="s">
        <v>103</v>
      </c>
    </row>
    <row r="188" spans="2:62" s="6" customFormat="1" ht="39" customHeight="1">
      <c r="B188" s="22"/>
      <c r="C188" s="127" t="s">
        <v>312</v>
      </c>
      <c r="D188" s="127" t="s">
        <v>173</v>
      </c>
      <c r="E188" s="128" t="s">
        <v>310</v>
      </c>
      <c r="F188" s="210" t="s">
        <v>311</v>
      </c>
      <c r="G188" s="211"/>
      <c r="H188" s="211"/>
      <c r="I188" s="211"/>
      <c r="J188" s="129" t="s">
        <v>176</v>
      </c>
      <c r="K188" s="130">
        <v>30</v>
      </c>
      <c r="L188" s="212">
        <v>0</v>
      </c>
      <c r="M188" s="211"/>
      <c r="N188" s="213">
        <f>ROUND($L$188*$K$188,2)</f>
        <v>0</v>
      </c>
      <c r="O188" s="211"/>
      <c r="P188" s="211"/>
      <c r="Q188" s="211"/>
      <c r="R188" s="24"/>
      <c r="T188" s="131"/>
      <c r="U188" s="30" t="s">
        <v>40</v>
      </c>
      <c r="V188" s="132">
        <v>0.09</v>
      </c>
      <c r="W188" s="132">
        <f>$V$188*$K$188</f>
        <v>2.6999999999999997</v>
      </c>
      <c r="X188" s="132">
        <v>0.0079</v>
      </c>
      <c r="Y188" s="132">
        <f>$X$188*$K$188</f>
        <v>0.23700000000000002</v>
      </c>
      <c r="Z188" s="132">
        <v>0</v>
      </c>
      <c r="AA188" s="133">
        <f>$Z$188*$K$188</f>
        <v>0</v>
      </c>
      <c r="AR188" s="6" t="s">
        <v>116</v>
      </c>
      <c r="AT188" s="6" t="s">
        <v>173</v>
      </c>
      <c r="AU188" s="6" t="s">
        <v>103</v>
      </c>
      <c r="AY188" s="6" t="s">
        <v>172</v>
      </c>
      <c r="BE188" s="82">
        <f>IF($U$188="základní",$N$188,0)</f>
        <v>0</v>
      </c>
      <c r="BF188" s="82">
        <f>IF($U$188="snížená",$N$188,0)</f>
        <v>0</v>
      </c>
      <c r="BG188" s="82">
        <f>IF($U$188="zákl. přenesena",$N$188,0)</f>
        <v>0</v>
      </c>
      <c r="BH188" s="82">
        <f>IF($U$188="sníž. přenesena",$N$188,0)</f>
        <v>0</v>
      </c>
      <c r="BI188" s="82">
        <f>IF($U$188="nulová",$N$188,0)</f>
        <v>0</v>
      </c>
      <c r="BJ188" s="6" t="s">
        <v>103</v>
      </c>
    </row>
    <row r="189" spans="2:62" s="6" customFormat="1" ht="39" customHeight="1">
      <c r="B189" s="22"/>
      <c r="C189" s="127" t="s">
        <v>313</v>
      </c>
      <c r="D189" s="127" t="s">
        <v>173</v>
      </c>
      <c r="E189" s="128" t="s">
        <v>314</v>
      </c>
      <c r="F189" s="210" t="s">
        <v>315</v>
      </c>
      <c r="G189" s="211"/>
      <c r="H189" s="211"/>
      <c r="I189" s="211"/>
      <c r="J189" s="129" t="s">
        <v>176</v>
      </c>
      <c r="K189" s="130">
        <v>420</v>
      </c>
      <c r="L189" s="212">
        <v>0</v>
      </c>
      <c r="M189" s="211"/>
      <c r="N189" s="213">
        <f>ROUND($L$189*$K$189,2)</f>
        <v>0</v>
      </c>
      <c r="O189" s="211"/>
      <c r="P189" s="211"/>
      <c r="Q189" s="211"/>
      <c r="R189" s="24"/>
      <c r="T189" s="131"/>
      <c r="U189" s="30" t="s">
        <v>40</v>
      </c>
      <c r="V189" s="132">
        <v>2.831</v>
      </c>
      <c r="W189" s="132">
        <f>$V$189*$K$189</f>
        <v>1189.02</v>
      </c>
      <c r="X189" s="132">
        <v>0.07569</v>
      </c>
      <c r="Y189" s="132">
        <f>$X$189*$K$189</f>
        <v>31.789799999999996</v>
      </c>
      <c r="Z189" s="132">
        <v>0</v>
      </c>
      <c r="AA189" s="133">
        <f>$Z$189*$K$189</f>
        <v>0</v>
      </c>
      <c r="AR189" s="6" t="s">
        <v>116</v>
      </c>
      <c r="AT189" s="6" t="s">
        <v>173</v>
      </c>
      <c r="AU189" s="6" t="s">
        <v>103</v>
      </c>
      <c r="AY189" s="6" t="s">
        <v>172</v>
      </c>
      <c r="BE189" s="82">
        <f>IF($U$189="základní",$N$189,0)</f>
        <v>0</v>
      </c>
      <c r="BF189" s="82">
        <f>IF($U$189="snížená",$N$189,0)</f>
        <v>0</v>
      </c>
      <c r="BG189" s="82">
        <f>IF($U$189="zákl. přenesena",$N$189,0)</f>
        <v>0</v>
      </c>
      <c r="BH189" s="82">
        <f>IF($U$189="sníž. přenesena",$N$189,0)</f>
        <v>0</v>
      </c>
      <c r="BI189" s="82">
        <f>IF($U$189="nulová",$N$189,0)</f>
        <v>0</v>
      </c>
      <c r="BJ189" s="6" t="s">
        <v>103</v>
      </c>
    </row>
    <row r="190" spans="2:62" s="6" customFormat="1" ht="39" customHeight="1">
      <c r="B190" s="22"/>
      <c r="C190" s="127" t="s">
        <v>316</v>
      </c>
      <c r="D190" s="127" t="s">
        <v>173</v>
      </c>
      <c r="E190" s="128" t="s">
        <v>317</v>
      </c>
      <c r="F190" s="210" t="s">
        <v>318</v>
      </c>
      <c r="G190" s="211"/>
      <c r="H190" s="211"/>
      <c r="I190" s="211"/>
      <c r="J190" s="129" t="s">
        <v>176</v>
      </c>
      <c r="K190" s="130">
        <v>94</v>
      </c>
      <c r="L190" s="212">
        <v>0</v>
      </c>
      <c r="M190" s="211"/>
      <c r="N190" s="213">
        <f>ROUND($L$190*$K$190,2)</f>
        <v>0</v>
      </c>
      <c r="O190" s="211"/>
      <c r="P190" s="211"/>
      <c r="Q190" s="211"/>
      <c r="R190" s="24"/>
      <c r="T190" s="131"/>
      <c r="U190" s="30" t="s">
        <v>40</v>
      </c>
      <c r="V190" s="132">
        <v>0.881</v>
      </c>
      <c r="W190" s="132">
        <f>$V$190*$K$190</f>
        <v>82.81400000000001</v>
      </c>
      <c r="X190" s="132">
        <v>0.03213</v>
      </c>
      <c r="Y190" s="132">
        <f>$X$190*$K$190</f>
        <v>3.0202199999999997</v>
      </c>
      <c r="Z190" s="132">
        <v>0</v>
      </c>
      <c r="AA190" s="133">
        <f>$Z$190*$K$190</f>
        <v>0</v>
      </c>
      <c r="AR190" s="6" t="s">
        <v>116</v>
      </c>
      <c r="AT190" s="6" t="s">
        <v>173</v>
      </c>
      <c r="AU190" s="6" t="s">
        <v>103</v>
      </c>
      <c r="AY190" s="6" t="s">
        <v>172</v>
      </c>
      <c r="BE190" s="82">
        <f>IF($U$190="základní",$N$190,0)</f>
        <v>0</v>
      </c>
      <c r="BF190" s="82">
        <f>IF($U$190="snížená",$N$190,0)</f>
        <v>0</v>
      </c>
      <c r="BG190" s="82">
        <f>IF($U$190="zákl. přenesena",$N$190,0)</f>
        <v>0</v>
      </c>
      <c r="BH190" s="82">
        <f>IF($U$190="sníž. přenesena",$N$190,0)</f>
        <v>0</v>
      </c>
      <c r="BI190" s="82">
        <f>IF($U$190="nulová",$N$190,0)</f>
        <v>0</v>
      </c>
      <c r="BJ190" s="6" t="s">
        <v>103</v>
      </c>
    </row>
    <row r="191" spans="2:62" s="6" customFormat="1" ht="27" customHeight="1">
      <c r="B191" s="22"/>
      <c r="C191" s="127" t="s">
        <v>319</v>
      </c>
      <c r="D191" s="127" t="s">
        <v>173</v>
      </c>
      <c r="E191" s="128" t="s">
        <v>320</v>
      </c>
      <c r="F191" s="210" t="s">
        <v>321</v>
      </c>
      <c r="G191" s="211"/>
      <c r="H191" s="211"/>
      <c r="I191" s="211"/>
      <c r="J191" s="129" t="s">
        <v>176</v>
      </c>
      <c r="K191" s="130">
        <v>6</v>
      </c>
      <c r="L191" s="212">
        <v>0</v>
      </c>
      <c r="M191" s="211"/>
      <c r="N191" s="213">
        <f>ROUND($L$191*$K$191,2)</f>
        <v>0</v>
      </c>
      <c r="O191" s="211"/>
      <c r="P191" s="211"/>
      <c r="Q191" s="211"/>
      <c r="R191" s="24"/>
      <c r="T191" s="131"/>
      <c r="U191" s="30" t="s">
        <v>40</v>
      </c>
      <c r="V191" s="132">
        <v>0.245</v>
      </c>
      <c r="W191" s="132">
        <f>$V$191*$K$191</f>
        <v>1.47</v>
      </c>
      <c r="X191" s="132">
        <v>0.00348</v>
      </c>
      <c r="Y191" s="132">
        <f>$X$191*$K$191</f>
        <v>0.02088</v>
      </c>
      <c r="Z191" s="132">
        <v>0</v>
      </c>
      <c r="AA191" s="133">
        <f>$Z$191*$K$191</f>
        <v>0</v>
      </c>
      <c r="AR191" s="6" t="s">
        <v>116</v>
      </c>
      <c r="AT191" s="6" t="s">
        <v>173</v>
      </c>
      <c r="AU191" s="6" t="s">
        <v>103</v>
      </c>
      <c r="AY191" s="6" t="s">
        <v>172</v>
      </c>
      <c r="BE191" s="82">
        <f>IF($U$191="základní",$N$191,0)</f>
        <v>0</v>
      </c>
      <c r="BF191" s="82">
        <f>IF($U$191="snížená",$N$191,0)</f>
        <v>0</v>
      </c>
      <c r="BG191" s="82">
        <f>IF($U$191="zákl. přenesena",$N$191,0)</f>
        <v>0</v>
      </c>
      <c r="BH191" s="82">
        <f>IF($U$191="sníž. přenesena",$N$191,0)</f>
        <v>0</v>
      </c>
      <c r="BI191" s="82">
        <f>IF($U$191="nulová",$N$191,0)</f>
        <v>0</v>
      </c>
      <c r="BJ191" s="6" t="s">
        <v>103</v>
      </c>
    </row>
    <row r="192" spans="2:62" s="6" customFormat="1" ht="27" customHeight="1">
      <c r="B192" s="22"/>
      <c r="C192" s="127" t="s">
        <v>322</v>
      </c>
      <c r="D192" s="127" t="s">
        <v>173</v>
      </c>
      <c r="E192" s="128" t="s">
        <v>323</v>
      </c>
      <c r="F192" s="210" t="s">
        <v>324</v>
      </c>
      <c r="G192" s="211"/>
      <c r="H192" s="211"/>
      <c r="I192" s="211"/>
      <c r="J192" s="129" t="s">
        <v>176</v>
      </c>
      <c r="K192" s="130">
        <v>1012</v>
      </c>
      <c r="L192" s="212">
        <v>0</v>
      </c>
      <c r="M192" s="211"/>
      <c r="N192" s="213">
        <f>ROUND($L$192*$K$192,2)</f>
        <v>0</v>
      </c>
      <c r="O192" s="211"/>
      <c r="P192" s="211"/>
      <c r="Q192" s="211"/>
      <c r="R192" s="24"/>
      <c r="T192" s="131"/>
      <c r="U192" s="30" t="s">
        <v>40</v>
      </c>
      <c r="V192" s="132">
        <v>0.19</v>
      </c>
      <c r="W192" s="132">
        <f>$V$192*$K$192</f>
        <v>192.28</v>
      </c>
      <c r="X192" s="132">
        <v>0.0006</v>
      </c>
      <c r="Y192" s="132">
        <f>$X$192*$K$192</f>
        <v>0.6072</v>
      </c>
      <c r="Z192" s="132">
        <v>0</v>
      </c>
      <c r="AA192" s="133">
        <f>$Z$192*$K$192</f>
        <v>0</v>
      </c>
      <c r="AR192" s="6" t="s">
        <v>116</v>
      </c>
      <c r="AT192" s="6" t="s">
        <v>173</v>
      </c>
      <c r="AU192" s="6" t="s">
        <v>103</v>
      </c>
      <c r="AY192" s="6" t="s">
        <v>172</v>
      </c>
      <c r="BE192" s="82">
        <f>IF($U$192="základní",$N$192,0)</f>
        <v>0</v>
      </c>
      <c r="BF192" s="82">
        <f>IF($U$192="snížená",$N$192,0)</f>
        <v>0</v>
      </c>
      <c r="BG192" s="82">
        <f>IF($U$192="zákl. přenesena",$N$192,0)</f>
        <v>0</v>
      </c>
      <c r="BH192" s="82">
        <f>IF($U$192="sníž. přenesena",$N$192,0)</f>
        <v>0</v>
      </c>
      <c r="BI192" s="82">
        <f>IF($U$192="nulová",$N$192,0)</f>
        <v>0</v>
      </c>
      <c r="BJ192" s="6" t="s">
        <v>103</v>
      </c>
    </row>
    <row r="193" spans="2:62" s="6" customFormat="1" ht="39" customHeight="1">
      <c r="B193" s="22"/>
      <c r="C193" s="127" t="s">
        <v>325</v>
      </c>
      <c r="D193" s="127" t="s">
        <v>173</v>
      </c>
      <c r="E193" s="128" t="s">
        <v>326</v>
      </c>
      <c r="F193" s="210" t="s">
        <v>327</v>
      </c>
      <c r="G193" s="211"/>
      <c r="H193" s="211"/>
      <c r="I193" s="211"/>
      <c r="J193" s="129" t="s">
        <v>176</v>
      </c>
      <c r="K193" s="130">
        <v>92</v>
      </c>
      <c r="L193" s="212">
        <v>0</v>
      </c>
      <c r="M193" s="211"/>
      <c r="N193" s="213">
        <f>ROUND($L$193*$K$193,2)</f>
        <v>0</v>
      </c>
      <c r="O193" s="211"/>
      <c r="P193" s="211"/>
      <c r="Q193" s="211"/>
      <c r="R193" s="24"/>
      <c r="T193" s="131"/>
      <c r="U193" s="30" t="s">
        <v>40</v>
      </c>
      <c r="V193" s="132">
        <v>0.15</v>
      </c>
      <c r="W193" s="132">
        <f>$V$193*$K$193</f>
        <v>13.799999999999999</v>
      </c>
      <c r="X193" s="132">
        <v>0.0002</v>
      </c>
      <c r="Y193" s="132">
        <f>$X$193*$K$193</f>
        <v>0.0184</v>
      </c>
      <c r="Z193" s="132">
        <v>0</v>
      </c>
      <c r="AA193" s="133">
        <f>$Z$193*$K$193</f>
        <v>0</v>
      </c>
      <c r="AR193" s="6" t="s">
        <v>116</v>
      </c>
      <c r="AT193" s="6" t="s">
        <v>173</v>
      </c>
      <c r="AU193" s="6" t="s">
        <v>103</v>
      </c>
      <c r="AY193" s="6" t="s">
        <v>172</v>
      </c>
      <c r="BE193" s="82">
        <f>IF($U$193="základní",$N$193,0)</f>
        <v>0</v>
      </c>
      <c r="BF193" s="82">
        <f>IF($U$193="snížená",$N$193,0)</f>
        <v>0</v>
      </c>
      <c r="BG193" s="82">
        <f>IF($U$193="zákl. přenesena",$N$193,0)</f>
        <v>0</v>
      </c>
      <c r="BH193" s="82">
        <f>IF($U$193="sníž. přenesena",$N$193,0)</f>
        <v>0</v>
      </c>
      <c r="BI193" s="82">
        <f>IF($U$193="nulová",$N$193,0)</f>
        <v>0</v>
      </c>
      <c r="BJ193" s="6" t="s">
        <v>103</v>
      </c>
    </row>
    <row r="194" spans="2:62" s="6" customFormat="1" ht="27" customHeight="1">
      <c r="B194" s="22"/>
      <c r="C194" s="127" t="s">
        <v>328</v>
      </c>
      <c r="D194" s="127" t="s">
        <v>173</v>
      </c>
      <c r="E194" s="128" t="s">
        <v>329</v>
      </c>
      <c r="F194" s="210" t="s">
        <v>330</v>
      </c>
      <c r="G194" s="211"/>
      <c r="H194" s="211"/>
      <c r="I194" s="211"/>
      <c r="J194" s="129" t="s">
        <v>247</v>
      </c>
      <c r="K194" s="130">
        <v>587.108</v>
      </c>
      <c r="L194" s="212">
        <v>0</v>
      </c>
      <c r="M194" s="211"/>
      <c r="N194" s="213">
        <f>ROUND($L$194*$K$194,2)</f>
        <v>0</v>
      </c>
      <c r="O194" s="211"/>
      <c r="P194" s="211"/>
      <c r="Q194" s="211"/>
      <c r="R194" s="24"/>
      <c r="T194" s="131"/>
      <c r="U194" s="30" t="s">
        <v>40</v>
      </c>
      <c r="V194" s="132">
        <v>0.128</v>
      </c>
      <c r="W194" s="132">
        <f>$V$194*$K$194</f>
        <v>75.149824</v>
      </c>
      <c r="X194" s="132">
        <v>0.00046</v>
      </c>
      <c r="Y194" s="132">
        <f>$X$194*$K$194</f>
        <v>0.27006968</v>
      </c>
      <c r="Z194" s="132">
        <v>0</v>
      </c>
      <c r="AA194" s="133">
        <f>$Z$194*$K$194</f>
        <v>0</v>
      </c>
      <c r="AR194" s="6" t="s">
        <v>116</v>
      </c>
      <c r="AT194" s="6" t="s">
        <v>173</v>
      </c>
      <c r="AU194" s="6" t="s">
        <v>103</v>
      </c>
      <c r="AY194" s="6" t="s">
        <v>172</v>
      </c>
      <c r="BE194" s="82">
        <f>IF($U$194="základní",$N$194,0)</f>
        <v>0</v>
      </c>
      <c r="BF194" s="82">
        <f>IF($U$194="snížená",$N$194,0)</f>
        <v>0</v>
      </c>
      <c r="BG194" s="82">
        <f>IF($U$194="zákl. přenesena",$N$194,0)</f>
        <v>0</v>
      </c>
      <c r="BH194" s="82">
        <f>IF($U$194="sníž. přenesena",$N$194,0)</f>
        <v>0</v>
      </c>
      <c r="BI194" s="82">
        <f>IF($U$194="nulová",$N$194,0)</f>
        <v>0</v>
      </c>
      <c r="BJ194" s="6" t="s">
        <v>103</v>
      </c>
    </row>
    <row r="195" spans="2:62" s="6" customFormat="1" ht="27" customHeight="1">
      <c r="B195" s="22"/>
      <c r="C195" s="127" t="s">
        <v>331</v>
      </c>
      <c r="D195" s="127" t="s">
        <v>173</v>
      </c>
      <c r="E195" s="128" t="s">
        <v>332</v>
      </c>
      <c r="F195" s="210" t="s">
        <v>333</v>
      </c>
      <c r="G195" s="211"/>
      <c r="H195" s="211"/>
      <c r="I195" s="211"/>
      <c r="J195" s="129" t="s">
        <v>179</v>
      </c>
      <c r="K195" s="130">
        <v>0.5</v>
      </c>
      <c r="L195" s="212">
        <v>0</v>
      </c>
      <c r="M195" s="211"/>
      <c r="N195" s="213">
        <f>ROUND($L$195*$K$195,2)</f>
        <v>0</v>
      </c>
      <c r="O195" s="211"/>
      <c r="P195" s="211"/>
      <c r="Q195" s="211"/>
      <c r="R195" s="24"/>
      <c r="T195" s="131"/>
      <c r="U195" s="30" t="s">
        <v>40</v>
      </c>
      <c r="V195" s="132">
        <v>2.777</v>
      </c>
      <c r="W195" s="132">
        <f>$V$195*$K$195</f>
        <v>1.3885</v>
      </c>
      <c r="X195" s="132">
        <v>0.10754</v>
      </c>
      <c r="Y195" s="132">
        <f>$X$195*$K$195</f>
        <v>0.05377</v>
      </c>
      <c r="Z195" s="132">
        <v>0</v>
      </c>
      <c r="AA195" s="133">
        <f>$Z$195*$K$195</f>
        <v>0</v>
      </c>
      <c r="AR195" s="6" t="s">
        <v>116</v>
      </c>
      <c r="AT195" s="6" t="s">
        <v>173</v>
      </c>
      <c r="AU195" s="6" t="s">
        <v>103</v>
      </c>
      <c r="AY195" s="6" t="s">
        <v>172</v>
      </c>
      <c r="BE195" s="82">
        <f>IF($U$195="základní",$N$195,0)</f>
        <v>0</v>
      </c>
      <c r="BF195" s="82">
        <f>IF($U$195="snížená",$N$195,0)</f>
        <v>0</v>
      </c>
      <c r="BG195" s="82">
        <f>IF($U$195="zákl. přenesena",$N$195,0)</f>
        <v>0</v>
      </c>
      <c r="BH195" s="82">
        <f>IF($U$195="sníž. přenesena",$N$195,0)</f>
        <v>0</v>
      </c>
      <c r="BI195" s="82">
        <f>IF($U$195="nulová",$N$195,0)</f>
        <v>0</v>
      </c>
      <c r="BJ195" s="6" t="s">
        <v>103</v>
      </c>
    </row>
    <row r="196" spans="2:62" s="6" customFormat="1" ht="15.75" customHeight="1">
      <c r="B196" s="22"/>
      <c r="C196" s="127" t="s">
        <v>334</v>
      </c>
      <c r="D196" s="127" t="s">
        <v>173</v>
      </c>
      <c r="E196" s="128" t="s">
        <v>335</v>
      </c>
      <c r="F196" s="210" t="s">
        <v>336</v>
      </c>
      <c r="G196" s="211"/>
      <c r="H196" s="211"/>
      <c r="I196" s="211"/>
      <c r="J196" s="129" t="s">
        <v>176</v>
      </c>
      <c r="K196" s="130">
        <v>1014</v>
      </c>
      <c r="L196" s="212">
        <v>0</v>
      </c>
      <c r="M196" s="211"/>
      <c r="N196" s="213">
        <f>ROUND($L$196*$K$196,2)</f>
        <v>0</v>
      </c>
      <c r="O196" s="211"/>
      <c r="P196" s="211"/>
      <c r="Q196" s="211"/>
      <c r="R196" s="24"/>
      <c r="T196" s="131"/>
      <c r="U196" s="30" t="s">
        <v>40</v>
      </c>
      <c r="V196" s="132">
        <v>0.14</v>
      </c>
      <c r="W196" s="132">
        <f>$V$196*$K$196</f>
        <v>141.96</v>
      </c>
      <c r="X196" s="132">
        <v>0</v>
      </c>
      <c r="Y196" s="132">
        <f>$X$196*$K$196</f>
        <v>0</v>
      </c>
      <c r="Z196" s="132">
        <v>0.024</v>
      </c>
      <c r="AA196" s="133">
        <f>$Z$196*$K$196</f>
        <v>24.336000000000002</v>
      </c>
      <c r="AR196" s="6" t="s">
        <v>116</v>
      </c>
      <c r="AT196" s="6" t="s">
        <v>173</v>
      </c>
      <c r="AU196" s="6" t="s">
        <v>103</v>
      </c>
      <c r="AY196" s="6" t="s">
        <v>172</v>
      </c>
      <c r="BE196" s="82">
        <f>IF($U$196="základní",$N$196,0)</f>
        <v>0</v>
      </c>
      <c r="BF196" s="82">
        <f>IF($U$196="snížená",$N$196,0)</f>
        <v>0</v>
      </c>
      <c r="BG196" s="82">
        <f>IF($U$196="zákl. přenesena",$N$196,0)</f>
        <v>0</v>
      </c>
      <c r="BH196" s="82">
        <f>IF($U$196="sníž. přenesena",$N$196,0)</f>
        <v>0</v>
      </c>
      <c r="BI196" s="82">
        <f>IF($U$196="nulová",$N$196,0)</f>
        <v>0</v>
      </c>
      <c r="BJ196" s="6" t="s">
        <v>103</v>
      </c>
    </row>
    <row r="197" spans="2:62" s="6" customFormat="1" ht="27" customHeight="1">
      <c r="B197" s="22"/>
      <c r="C197" s="127" t="s">
        <v>337</v>
      </c>
      <c r="D197" s="127" t="s">
        <v>173</v>
      </c>
      <c r="E197" s="128" t="s">
        <v>338</v>
      </c>
      <c r="F197" s="210" t="s">
        <v>339</v>
      </c>
      <c r="G197" s="211"/>
      <c r="H197" s="211"/>
      <c r="I197" s="211"/>
      <c r="J197" s="129" t="s">
        <v>176</v>
      </c>
      <c r="K197" s="130">
        <v>23</v>
      </c>
      <c r="L197" s="212">
        <v>0</v>
      </c>
      <c r="M197" s="211"/>
      <c r="N197" s="213">
        <f>ROUND($L$197*$K$197,2)</f>
        <v>0</v>
      </c>
      <c r="O197" s="211"/>
      <c r="P197" s="211"/>
      <c r="Q197" s="211"/>
      <c r="R197" s="24"/>
      <c r="T197" s="131"/>
      <c r="U197" s="30" t="s">
        <v>40</v>
      </c>
      <c r="V197" s="132">
        <v>0.296</v>
      </c>
      <c r="W197" s="132">
        <f>$V$197*$K$197</f>
        <v>6.808</v>
      </c>
      <c r="X197" s="132">
        <v>0</v>
      </c>
      <c r="Y197" s="132">
        <f>$X$197*$K$197</f>
        <v>0</v>
      </c>
      <c r="Z197" s="132">
        <v>0.005</v>
      </c>
      <c r="AA197" s="133">
        <f>$Z$197*$K$197</f>
        <v>0.115</v>
      </c>
      <c r="AR197" s="6" t="s">
        <v>116</v>
      </c>
      <c r="AT197" s="6" t="s">
        <v>173</v>
      </c>
      <c r="AU197" s="6" t="s">
        <v>103</v>
      </c>
      <c r="AY197" s="6" t="s">
        <v>172</v>
      </c>
      <c r="BE197" s="82">
        <f>IF($U$197="základní",$N$197,0)</f>
        <v>0</v>
      </c>
      <c r="BF197" s="82">
        <f>IF($U$197="snížená",$N$197,0)</f>
        <v>0</v>
      </c>
      <c r="BG197" s="82">
        <f>IF($U$197="zákl. přenesena",$N$197,0)</f>
        <v>0</v>
      </c>
      <c r="BH197" s="82">
        <f>IF($U$197="sníž. přenesena",$N$197,0)</f>
        <v>0</v>
      </c>
      <c r="BI197" s="82">
        <f>IF($U$197="nulová",$N$197,0)</f>
        <v>0</v>
      </c>
      <c r="BJ197" s="6" t="s">
        <v>103</v>
      </c>
    </row>
    <row r="198" spans="2:62" s="6" customFormat="1" ht="27" customHeight="1">
      <c r="B198" s="22"/>
      <c r="C198" s="127" t="s">
        <v>340</v>
      </c>
      <c r="D198" s="127" t="s">
        <v>173</v>
      </c>
      <c r="E198" s="128" t="s">
        <v>341</v>
      </c>
      <c r="F198" s="210" t="s">
        <v>342</v>
      </c>
      <c r="G198" s="211"/>
      <c r="H198" s="211"/>
      <c r="I198" s="211"/>
      <c r="J198" s="129" t="s">
        <v>176</v>
      </c>
      <c r="K198" s="130">
        <v>71.2</v>
      </c>
      <c r="L198" s="212">
        <v>0</v>
      </c>
      <c r="M198" s="211"/>
      <c r="N198" s="213">
        <f>ROUND($L$198*$K$198,2)</f>
        <v>0</v>
      </c>
      <c r="O198" s="211"/>
      <c r="P198" s="211"/>
      <c r="Q198" s="211"/>
      <c r="R198" s="24"/>
      <c r="T198" s="131"/>
      <c r="U198" s="30" t="s">
        <v>40</v>
      </c>
      <c r="V198" s="132">
        <v>0.481</v>
      </c>
      <c r="W198" s="132">
        <f>$V$198*$K$198</f>
        <v>34.2472</v>
      </c>
      <c r="X198" s="132">
        <v>0.063</v>
      </c>
      <c r="Y198" s="132">
        <f>$X$198*$K$198</f>
        <v>4.4856</v>
      </c>
      <c r="Z198" s="132">
        <v>0</v>
      </c>
      <c r="AA198" s="133">
        <f>$Z$198*$K$198</f>
        <v>0</v>
      </c>
      <c r="AR198" s="6" t="s">
        <v>116</v>
      </c>
      <c r="AT198" s="6" t="s">
        <v>173</v>
      </c>
      <c r="AU198" s="6" t="s">
        <v>103</v>
      </c>
      <c r="AY198" s="6" t="s">
        <v>172</v>
      </c>
      <c r="BE198" s="82">
        <f>IF($U$198="základní",$N$198,0)</f>
        <v>0</v>
      </c>
      <c r="BF198" s="82">
        <f>IF($U$198="snížená",$N$198,0)</f>
        <v>0</v>
      </c>
      <c r="BG198" s="82">
        <f>IF($U$198="zákl. přenesena",$N$198,0)</f>
        <v>0</v>
      </c>
      <c r="BH198" s="82">
        <f>IF($U$198="sníž. přenesena",$N$198,0)</f>
        <v>0</v>
      </c>
      <c r="BI198" s="82">
        <f>IF($U$198="nulová",$N$198,0)</f>
        <v>0</v>
      </c>
      <c r="BJ198" s="6" t="s">
        <v>103</v>
      </c>
    </row>
    <row r="199" spans="2:62" s="6" customFormat="1" ht="27" customHeight="1">
      <c r="B199" s="22"/>
      <c r="C199" s="127" t="s">
        <v>343</v>
      </c>
      <c r="D199" s="127" t="s">
        <v>173</v>
      </c>
      <c r="E199" s="128" t="s">
        <v>344</v>
      </c>
      <c r="F199" s="210" t="s">
        <v>345</v>
      </c>
      <c r="G199" s="211"/>
      <c r="H199" s="211"/>
      <c r="I199" s="211"/>
      <c r="J199" s="129" t="s">
        <v>176</v>
      </c>
      <c r="K199" s="130">
        <v>21</v>
      </c>
      <c r="L199" s="212">
        <v>0</v>
      </c>
      <c r="M199" s="211"/>
      <c r="N199" s="213">
        <f>ROUND($L$199*$K$199,2)</f>
        <v>0</v>
      </c>
      <c r="O199" s="211"/>
      <c r="P199" s="211"/>
      <c r="Q199" s="211"/>
      <c r="R199" s="24"/>
      <c r="T199" s="131"/>
      <c r="U199" s="30" t="s">
        <v>40</v>
      </c>
      <c r="V199" s="132">
        <v>0.508</v>
      </c>
      <c r="W199" s="132">
        <f>$V$199*$K$199</f>
        <v>10.668</v>
      </c>
      <c r="X199" s="132">
        <v>0.29585</v>
      </c>
      <c r="Y199" s="132">
        <f>$X$199*$K$199</f>
        <v>6.21285</v>
      </c>
      <c r="Z199" s="132">
        <v>0</v>
      </c>
      <c r="AA199" s="133">
        <f>$Z$199*$K$199</f>
        <v>0</v>
      </c>
      <c r="AR199" s="6" t="s">
        <v>116</v>
      </c>
      <c r="AT199" s="6" t="s">
        <v>173</v>
      </c>
      <c r="AU199" s="6" t="s">
        <v>103</v>
      </c>
      <c r="AY199" s="6" t="s">
        <v>172</v>
      </c>
      <c r="BE199" s="82">
        <f>IF($U$199="základní",$N$199,0)</f>
        <v>0</v>
      </c>
      <c r="BF199" s="82">
        <f>IF($U$199="snížená",$N$199,0)</f>
        <v>0</v>
      </c>
      <c r="BG199" s="82">
        <f>IF($U$199="zákl. přenesena",$N$199,0)</f>
        <v>0</v>
      </c>
      <c r="BH199" s="82">
        <f>IF($U$199="sníž. přenesena",$N$199,0)</f>
        <v>0</v>
      </c>
      <c r="BI199" s="82">
        <f>IF($U$199="nulová",$N$199,0)</f>
        <v>0</v>
      </c>
      <c r="BJ199" s="6" t="s">
        <v>103</v>
      </c>
    </row>
    <row r="200" spans="2:51" s="117" customFormat="1" ht="30.75" customHeight="1">
      <c r="B200" s="118"/>
      <c r="C200" s="119"/>
      <c r="D200" s="126" t="s">
        <v>132</v>
      </c>
      <c r="E200" s="119"/>
      <c r="F200" s="119"/>
      <c r="G200" s="119"/>
      <c r="H200" s="119"/>
      <c r="I200" s="119"/>
      <c r="J200" s="119"/>
      <c r="K200" s="119"/>
      <c r="L200" s="119"/>
      <c r="M200" s="119"/>
      <c r="N200" s="221">
        <f>$N$201+SUM($N$202:$N$228)</f>
        <v>0</v>
      </c>
      <c r="O200" s="220"/>
      <c r="P200" s="220"/>
      <c r="Q200" s="220"/>
      <c r="R200" s="121"/>
      <c r="T200" s="122"/>
      <c r="U200" s="119"/>
      <c r="V200" s="119"/>
      <c r="W200" s="123">
        <f>$W$201+SUM($W$202:$W$228)</f>
        <v>970.0436759999998</v>
      </c>
      <c r="X200" s="119"/>
      <c r="Y200" s="123">
        <f>$Y$201+SUM($Y$202:$Y$228)</f>
        <v>0.40704952</v>
      </c>
      <c r="Z200" s="119"/>
      <c r="AA200" s="124">
        <f>$AA$201+SUM($AA$202:$AA$228)</f>
        <v>73.475949</v>
      </c>
      <c r="AR200" s="125" t="s">
        <v>17</v>
      </c>
      <c r="AT200" s="125" t="s">
        <v>72</v>
      </c>
      <c r="AU200" s="125" t="s">
        <v>17</v>
      </c>
      <c r="AY200" s="125" t="s">
        <v>172</v>
      </c>
    </row>
    <row r="201" spans="2:62" s="6" customFormat="1" ht="39" customHeight="1">
      <c r="B201" s="22"/>
      <c r="C201" s="127" t="s">
        <v>346</v>
      </c>
      <c r="D201" s="127" t="s">
        <v>173</v>
      </c>
      <c r="E201" s="128" t="s">
        <v>347</v>
      </c>
      <c r="F201" s="210" t="s">
        <v>348</v>
      </c>
      <c r="G201" s="211"/>
      <c r="H201" s="211"/>
      <c r="I201" s="211"/>
      <c r="J201" s="129" t="s">
        <v>176</v>
      </c>
      <c r="K201" s="130">
        <v>856.085</v>
      </c>
      <c r="L201" s="212">
        <v>0</v>
      </c>
      <c r="M201" s="211"/>
      <c r="N201" s="213">
        <f>ROUND($L$201*$K$201,2)</f>
        <v>0</v>
      </c>
      <c r="O201" s="211"/>
      <c r="P201" s="211"/>
      <c r="Q201" s="211"/>
      <c r="R201" s="24"/>
      <c r="T201" s="131"/>
      <c r="U201" s="30" t="s">
        <v>40</v>
      </c>
      <c r="V201" s="132">
        <v>0.167</v>
      </c>
      <c r="W201" s="132">
        <f>$V$201*$K$201</f>
        <v>142.96619500000003</v>
      </c>
      <c r="X201" s="132">
        <v>0</v>
      </c>
      <c r="Y201" s="132">
        <f>$X$201*$K$201</f>
        <v>0</v>
      </c>
      <c r="Z201" s="132">
        <v>0</v>
      </c>
      <c r="AA201" s="133">
        <f>$Z$201*$K$201</f>
        <v>0</v>
      </c>
      <c r="AR201" s="6" t="s">
        <v>116</v>
      </c>
      <c r="AT201" s="6" t="s">
        <v>173</v>
      </c>
      <c r="AU201" s="6" t="s">
        <v>103</v>
      </c>
      <c r="AY201" s="6" t="s">
        <v>172</v>
      </c>
      <c r="BE201" s="82">
        <f>IF($U$201="základní",$N$201,0)</f>
        <v>0</v>
      </c>
      <c r="BF201" s="82">
        <f>IF($U$201="snížená",$N$201,0)</f>
        <v>0</v>
      </c>
      <c r="BG201" s="82">
        <f>IF($U$201="zákl. přenesena",$N$201,0)</f>
        <v>0</v>
      </c>
      <c r="BH201" s="82">
        <f>IF($U$201="sníž. přenesena",$N$201,0)</f>
        <v>0</v>
      </c>
      <c r="BI201" s="82">
        <f>IF($U$201="nulová",$N$201,0)</f>
        <v>0</v>
      </c>
      <c r="BJ201" s="6" t="s">
        <v>103</v>
      </c>
    </row>
    <row r="202" spans="2:62" s="6" customFormat="1" ht="39" customHeight="1">
      <c r="B202" s="22"/>
      <c r="C202" s="127" t="s">
        <v>349</v>
      </c>
      <c r="D202" s="127" t="s">
        <v>173</v>
      </c>
      <c r="E202" s="128" t="s">
        <v>350</v>
      </c>
      <c r="F202" s="210" t="s">
        <v>351</v>
      </c>
      <c r="G202" s="211"/>
      <c r="H202" s="211"/>
      <c r="I202" s="211"/>
      <c r="J202" s="129" t="s">
        <v>176</v>
      </c>
      <c r="K202" s="130">
        <v>77047.65</v>
      </c>
      <c r="L202" s="212">
        <v>0</v>
      </c>
      <c r="M202" s="211"/>
      <c r="N202" s="213">
        <f>ROUND($L$202*$K$202,2)</f>
        <v>0</v>
      </c>
      <c r="O202" s="211"/>
      <c r="P202" s="211"/>
      <c r="Q202" s="211"/>
      <c r="R202" s="24"/>
      <c r="T202" s="131"/>
      <c r="U202" s="30" t="s">
        <v>40</v>
      </c>
      <c r="V202" s="132">
        <v>0</v>
      </c>
      <c r="W202" s="132">
        <f>$V$202*$K$202</f>
        <v>0</v>
      </c>
      <c r="X202" s="132">
        <v>0</v>
      </c>
      <c r="Y202" s="132">
        <f>$X$202*$K$202</f>
        <v>0</v>
      </c>
      <c r="Z202" s="132">
        <v>0</v>
      </c>
      <c r="AA202" s="133">
        <f>$Z$202*$K$202</f>
        <v>0</v>
      </c>
      <c r="AR202" s="6" t="s">
        <v>116</v>
      </c>
      <c r="AT202" s="6" t="s">
        <v>173</v>
      </c>
      <c r="AU202" s="6" t="s">
        <v>103</v>
      </c>
      <c r="AY202" s="6" t="s">
        <v>172</v>
      </c>
      <c r="BE202" s="82">
        <f>IF($U$202="základní",$N$202,0)</f>
        <v>0</v>
      </c>
      <c r="BF202" s="82">
        <f>IF($U$202="snížená",$N$202,0)</f>
        <v>0</v>
      </c>
      <c r="BG202" s="82">
        <f>IF($U$202="zákl. přenesena",$N$202,0)</f>
        <v>0</v>
      </c>
      <c r="BH202" s="82">
        <f>IF($U$202="sníž. přenesena",$N$202,0)</f>
        <v>0</v>
      </c>
      <c r="BI202" s="82">
        <f>IF($U$202="nulová",$N$202,0)</f>
        <v>0</v>
      </c>
      <c r="BJ202" s="6" t="s">
        <v>103</v>
      </c>
    </row>
    <row r="203" spans="2:62" s="6" customFormat="1" ht="39" customHeight="1">
      <c r="B203" s="22"/>
      <c r="C203" s="127" t="s">
        <v>352</v>
      </c>
      <c r="D203" s="127" t="s">
        <v>173</v>
      </c>
      <c r="E203" s="128" t="s">
        <v>353</v>
      </c>
      <c r="F203" s="210" t="s">
        <v>354</v>
      </c>
      <c r="G203" s="211"/>
      <c r="H203" s="211"/>
      <c r="I203" s="211"/>
      <c r="J203" s="129" t="s">
        <v>176</v>
      </c>
      <c r="K203" s="130">
        <v>856.085</v>
      </c>
      <c r="L203" s="212">
        <v>0</v>
      </c>
      <c r="M203" s="211"/>
      <c r="N203" s="213">
        <f>ROUND($L$203*$K$203,2)</f>
        <v>0</v>
      </c>
      <c r="O203" s="211"/>
      <c r="P203" s="211"/>
      <c r="Q203" s="211"/>
      <c r="R203" s="24"/>
      <c r="T203" s="131"/>
      <c r="U203" s="30" t="s">
        <v>40</v>
      </c>
      <c r="V203" s="132">
        <v>0.105</v>
      </c>
      <c r="W203" s="132">
        <f>$V$203*$K$203</f>
        <v>89.888925</v>
      </c>
      <c r="X203" s="132">
        <v>0</v>
      </c>
      <c r="Y203" s="132">
        <f>$X$203*$K$203</f>
        <v>0</v>
      </c>
      <c r="Z203" s="132">
        <v>0</v>
      </c>
      <c r="AA203" s="133">
        <f>$Z$203*$K$203</f>
        <v>0</v>
      </c>
      <c r="AR203" s="6" t="s">
        <v>116</v>
      </c>
      <c r="AT203" s="6" t="s">
        <v>173</v>
      </c>
      <c r="AU203" s="6" t="s">
        <v>103</v>
      </c>
      <c r="AY203" s="6" t="s">
        <v>172</v>
      </c>
      <c r="BE203" s="82">
        <f>IF($U$203="základní",$N$203,0)</f>
        <v>0</v>
      </c>
      <c r="BF203" s="82">
        <f>IF($U$203="snížená",$N$203,0)</f>
        <v>0</v>
      </c>
      <c r="BG203" s="82">
        <f>IF($U$203="zákl. přenesena",$N$203,0)</f>
        <v>0</v>
      </c>
      <c r="BH203" s="82">
        <f>IF($U$203="sníž. přenesena",$N$203,0)</f>
        <v>0</v>
      </c>
      <c r="BI203" s="82">
        <f>IF($U$203="nulová",$N$203,0)</f>
        <v>0</v>
      </c>
      <c r="BJ203" s="6" t="s">
        <v>103</v>
      </c>
    </row>
    <row r="204" spans="2:62" s="6" customFormat="1" ht="39" customHeight="1">
      <c r="B204" s="22"/>
      <c r="C204" s="127" t="s">
        <v>355</v>
      </c>
      <c r="D204" s="127" t="s">
        <v>173</v>
      </c>
      <c r="E204" s="128" t="s">
        <v>356</v>
      </c>
      <c r="F204" s="210" t="s">
        <v>357</v>
      </c>
      <c r="G204" s="211"/>
      <c r="H204" s="211"/>
      <c r="I204" s="211"/>
      <c r="J204" s="129" t="s">
        <v>176</v>
      </c>
      <c r="K204" s="130">
        <v>1.5</v>
      </c>
      <c r="L204" s="212">
        <v>0</v>
      </c>
      <c r="M204" s="211"/>
      <c r="N204" s="213">
        <f>ROUND($L$204*$K$204,2)</f>
        <v>0</v>
      </c>
      <c r="O204" s="211"/>
      <c r="P204" s="211"/>
      <c r="Q204" s="211"/>
      <c r="R204" s="24"/>
      <c r="T204" s="131"/>
      <c r="U204" s="30" t="s">
        <v>40</v>
      </c>
      <c r="V204" s="132">
        <v>0.105</v>
      </c>
      <c r="W204" s="132">
        <f>$V$204*$K$204</f>
        <v>0.1575</v>
      </c>
      <c r="X204" s="132">
        <v>0.00013</v>
      </c>
      <c r="Y204" s="132">
        <f>$X$204*$K$204</f>
        <v>0.00019499999999999997</v>
      </c>
      <c r="Z204" s="132">
        <v>0</v>
      </c>
      <c r="AA204" s="133">
        <f>$Z$204*$K$204</f>
        <v>0</v>
      </c>
      <c r="AR204" s="6" t="s">
        <v>116</v>
      </c>
      <c r="AT204" s="6" t="s">
        <v>173</v>
      </c>
      <c r="AU204" s="6" t="s">
        <v>103</v>
      </c>
      <c r="AY204" s="6" t="s">
        <v>172</v>
      </c>
      <c r="BE204" s="82">
        <f>IF($U$204="základní",$N$204,0)</f>
        <v>0</v>
      </c>
      <c r="BF204" s="82">
        <f>IF($U$204="snížená",$N$204,0)</f>
        <v>0</v>
      </c>
      <c r="BG204" s="82">
        <f>IF($U$204="zákl. přenesena",$N$204,0)</f>
        <v>0</v>
      </c>
      <c r="BH204" s="82">
        <f>IF($U$204="sníž. přenesena",$N$204,0)</f>
        <v>0</v>
      </c>
      <c r="BI204" s="82">
        <f>IF($U$204="nulová",$N$204,0)</f>
        <v>0</v>
      </c>
      <c r="BJ204" s="6" t="s">
        <v>103</v>
      </c>
    </row>
    <row r="205" spans="2:62" s="6" customFormat="1" ht="27" customHeight="1">
      <c r="B205" s="22"/>
      <c r="C205" s="127" t="s">
        <v>358</v>
      </c>
      <c r="D205" s="127" t="s">
        <v>173</v>
      </c>
      <c r="E205" s="128" t="s">
        <v>359</v>
      </c>
      <c r="F205" s="210" t="s">
        <v>360</v>
      </c>
      <c r="G205" s="211"/>
      <c r="H205" s="211"/>
      <c r="I205" s="211"/>
      <c r="J205" s="129" t="s">
        <v>260</v>
      </c>
      <c r="K205" s="130">
        <v>4</v>
      </c>
      <c r="L205" s="212">
        <v>0</v>
      </c>
      <c r="M205" s="211"/>
      <c r="N205" s="213">
        <f>ROUND($L$205*$K$205,2)</f>
        <v>0</v>
      </c>
      <c r="O205" s="211"/>
      <c r="P205" s="211"/>
      <c r="Q205" s="211"/>
      <c r="R205" s="24"/>
      <c r="T205" s="131"/>
      <c r="U205" s="30" t="s">
        <v>40</v>
      </c>
      <c r="V205" s="132">
        <v>0.25</v>
      </c>
      <c r="W205" s="132">
        <f>$V$205*$K$205</f>
        <v>1</v>
      </c>
      <c r="X205" s="132">
        <v>0.00234</v>
      </c>
      <c r="Y205" s="132">
        <f>$X$205*$K$205</f>
        <v>0.00936</v>
      </c>
      <c r="Z205" s="132">
        <v>0</v>
      </c>
      <c r="AA205" s="133">
        <f>$Z$205*$K$205</f>
        <v>0</v>
      </c>
      <c r="AR205" s="6" t="s">
        <v>116</v>
      </c>
      <c r="AT205" s="6" t="s">
        <v>173</v>
      </c>
      <c r="AU205" s="6" t="s">
        <v>103</v>
      </c>
      <c r="AY205" s="6" t="s">
        <v>172</v>
      </c>
      <c r="BE205" s="82">
        <f>IF($U$205="základní",$N$205,0)</f>
        <v>0</v>
      </c>
      <c r="BF205" s="82">
        <f>IF($U$205="snížená",$N$205,0)</f>
        <v>0</v>
      </c>
      <c r="BG205" s="82">
        <f>IF($U$205="zákl. přenesena",$N$205,0)</f>
        <v>0</v>
      </c>
      <c r="BH205" s="82">
        <f>IF($U$205="sníž. přenesena",$N$205,0)</f>
        <v>0</v>
      </c>
      <c r="BI205" s="82">
        <f>IF($U$205="nulová",$N$205,0)</f>
        <v>0</v>
      </c>
      <c r="BJ205" s="6" t="s">
        <v>103</v>
      </c>
    </row>
    <row r="206" spans="2:62" s="6" customFormat="1" ht="15.75" customHeight="1">
      <c r="B206" s="22"/>
      <c r="C206" s="134" t="s">
        <v>361</v>
      </c>
      <c r="D206" s="134" t="s">
        <v>201</v>
      </c>
      <c r="E206" s="135" t="s">
        <v>362</v>
      </c>
      <c r="F206" s="214" t="s">
        <v>363</v>
      </c>
      <c r="G206" s="215"/>
      <c r="H206" s="215"/>
      <c r="I206" s="215"/>
      <c r="J206" s="136" t="s">
        <v>260</v>
      </c>
      <c r="K206" s="137">
        <v>1</v>
      </c>
      <c r="L206" s="216">
        <v>0</v>
      </c>
      <c r="M206" s="215"/>
      <c r="N206" s="217">
        <f>ROUND($L$206*$K$206,2)</f>
        <v>0</v>
      </c>
      <c r="O206" s="211"/>
      <c r="P206" s="211"/>
      <c r="Q206" s="211"/>
      <c r="R206" s="24"/>
      <c r="T206" s="131"/>
      <c r="U206" s="30" t="s">
        <v>40</v>
      </c>
      <c r="V206" s="132">
        <v>0</v>
      </c>
      <c r="W206" s="132">
        <f>$V$206*$K$206</f>
        <v>0</v>
      </c>
      <c r="X206" s="132">
        <v>0.01</v>
      </c>
      <c r="Y206" s="132">
        <f>$X$206*$K$206</f>
        <v>0.01</v>
      </c>
      <c r="Z206" s="132">
        <v>0</v>
      </c>
      <c r="AA206" s="133">
        <f>$Z$206*$K$206</f>
        <v>0</v>
      </c>
      <c r="AR206" s="6" t="s">
        <v>194</v>
      </c>
      <c r="AT206" s="6" t="s">
        <v>201</v>
      </c>
      <c r="AU206" s="6" t="s">
        <v>103</v>
      </c>
      <c r="AY206" s="6" t="s">
        <v>172</v>
      </c>
      <c r="BE206" s="82">
        <f>IF($U$206="základní",$N$206,0)</f>
        <v>0</v>
      </c>
      <c r="BF206" s="82">
        <f>IF($U$206="snížená",$N$206,0)</f>
        <v>0</v>
      </c>
      <c r="BG206" s="82">
        <f>IF($U$206="zákl. přenesena",$N$206,0)</f>
        <v>0</v>
      </c>
      <c r="BH206" s="82">
        <f>IF($U$206="sníž. přenesena",$N$206,0)</f>
        <v>0</v>
      </c>
      <c r="BI206" s="82">
        <f>IF($U$206="nulová",$N$206,0)</f>
        <v>0</v>
      </c>
      <c r="BJ206" s="6" t="s">
        <v>103</v>
      </c>
    </row>
    <row r="207" spans="2:62" s="6" customFormat="1" ht="27" customHeight="1">
      <c r="B207" s="22"/>
      <c r="C207" s="127" t="s">
        <v>364</v>
      </c>
      <c r="D207" s="127" t="s">
        <v>173</v>
      </c>
      <c r="E207" s="128" t="s">
        <v>365</v>
      </c>
      <c r="F207" s="210" t="s">
        <v>366</v>
      </c>
      <c r="G207" s="211"/>
      <c r="H207" s="211"/>
      <c r="I207" s="211"/>
      <c r="J207" s="129" t="s">
        <v>260</v>
      </c>
      <c r="K207" s="130">
        <v>18</v>
      </c>
      <c r="L207" s="212">
        <v>0</v>
      </c>
      <c r="M207" s="211"/>
      <c r="N207" s="213">
        <f>ROUND($L$207*$K$207,2)</f>
        <v>0</v>
      </c>
      <c r="O207" s="211"/>
      <c r="P207" s="211"/>
      <c r="Q207" s="211"/>
      <c r="R207" s="24"/>
      <c r="T207" s="131"/>
      <c r="U207" s="30" t="s">
        <v>40</v>
      </c>
      <c r="V207" s="132">
        <v>0.43</v>
      </c>
      <c r="W207" s="132">
        <f>$V$207*$K$207</f>
        <v>7.74</v>
      </c>
      <c r="X207" s="132">
        <v>0.00468</v>
      </c>
      <c r="Y207" s="132">
        <f>$X$207*$K$207</f>
        <v>0.08424000000000001</v>
      </c>
      <c r="Z207" s="132">
        <v>0</v>
      </c>
      <c r="AA207" s="133">
        <f>$Z$207*$K$207</f>
        <v>0</v>
      </c>
      <c r="AR207" s="6" t="s">
        <v>116</v>
      </c>
      <c r="AT207" s="6" t="s">
        <v>173</v>
      </c>
      <c r="AU207" s="6" t="s">
        <v>103</v>
      </c>
      <c r="AY207" s="6" t="s">
        <v>172</v>
      </c>
      <c r="BE207" s="82">
        <f>IF($U$207="základní",$N$207,0)</f>
        <v>0</v>
      </c>
      <c r="BF207" s="82">
        <f>IF($U$207="snížená",$N$207,0)</f>
        <v>0</v>
      </c>
      <c r="BG207" s="82">
        <f>IF($U$207="zákl. přenesena",$N$207,0)</f>
        <v>0</v>
      </c>
      <c r="BH207" s="82">
        <f>IF($U$207="sníž. přenesena",$N$207,0)</f>
        <v>0</v>
      </c>
      <c r="BI207" s="82">
        <f>IF($U$207="nulová",$N$207,0)</f>
        <v>0</v>
      </c>
      <c r="BJ207" s="6" t="s">
        <v>103</v>
      </c>
    </row>
    <row r="208" spans="2:62" s="6" customFormat="1" ht="15.75" customHeight="1">
      <c r="B208" s="22"/>
      <c r="C208" s="134" t="s">
        <v>367</v>
      </c>
      <c r="D208" s="134" t="s">
        <v>201</v>
      </c>
      <c r="E208" s="135" t="s">
        <v>368</v>
      </c>
      <c r="F208" s="214" t="s">
        <v>369</v>
      </c>
      <c r="G208" s="215"/>
      <c r="H208" s="215"/>
      <c r="I208" s="215"/>
      <c r="J208" s="136" t="s">
        <v>260</v>
      </c>
      <c r="K208" s="137">
        <v>1</v>
      </c>
      <c r="L208" s="216">
        <v>0</v>
      </c>
      <c r="M208" s="215"/>
      <c r="N208" s="217">
        <f>ROUND($L$208*$K$208,2)</f>
        <v>0</v>
      </c>
      <c r="O208" s="211"/>
      <c r="P208" s="211"/>
      <c r="Q208" s="211"/>
      <c r="R208" s="24"/>
      <c r="T208" s="131"/>
      <c r="U208" s="30" t="s">
        <v>40</v>
      </c>
      <c r="V208" s="132">
        <v>0</v>
      </c>
      <c r="W208" s="132">
        <f>$V$208*$K$208</f>
        <v>0</v>
      </c>
      <c r="X208" s="132">
        <v>0.004</v>
      </c>
      <c r="Y208" s="132">
        <f>$X$208*$K$208</f>
        <v>0.004</v>
      </c>
      <c r="Z208" s="132">
        <v>0</v>
      </c>
      <c r="AA208" s="133">
        <f>$Z$208*$K$208</f>
        <v>0</v>
      </c>
      <c r="AR208" s="6" t="s">
        <v>194</v>
      </c>
      <c r="AT208" s="6" t="s">
        <v>201</v>
      </c>
      <c r="AU208" s="6" t="s">
        <v>103</v>
      </c>
      <c r="AY208" s="6" t="s">
        <v>172</v>
      </c>
      <c r="BE208" s="82">
        <f>IF($U$208="základní",$N$208,0)</f>
        <v>0</v>
      </c>
      <c r="BF208" s="82">
        <f>IF($U$208="snížená",$N$208,0)</f>
        <v>0</v>
      </c>
      <c r="BG208" s="82">
        <f>IF($U$208="zákl. přenesena",$N$208,0)</f>
        <v>0</v>
      </c>
      <c r="BH208" s="82">
        <f>IF($U$208="sníž. přenesena",$N$208,0)</f>
        <v>0</v>
      </c>
      <c r="BI208" s="82">
        <f>IF($U$208="nulová",$N$208,0)</f>
        <v>0</v>
      </c>
      <c r="BJ208" s="6" t="s">
        <v>103</v>
      </c>
    </row>
    <row r="209" spans="2:62" s="6" customFormat="1" ht="15.75" customHeight="1">
      <c r="B209" s="22"/>
      <c r="C209" s="134" t="s">
        <v>370</v>
      </c>
      <c r="D209" s="134" t="s">
        <v>201</v>
      </c>
      <c r="E209" s="135" t="s">
        <v>371</v>
      </c>
      <c r="F209" s="214" t="s">
        <v>372</v>
      </c>
      <c r="G209" s="215"/>
      <c r="H209" s="215"/>
      <c r="I209" s="215"/>
      <c r="J209" s="136" t="s">
        <v>260</v>
      </c>
      <c r="K209" s="137">
        <v>3</v>
      </c>
      <c r="L209" s="216">
        <v>0</v>
      </c>
      <c r="M209" s="215"/>
      <c r="N209" s="217">
        <f>ROUND($L$209*$K$209,2)</f>
        <v>0</v>
      </c>
      <c r="O209" s="211"/>
      <c r="P209" s="211"/>
      <c r="Q209" s="211"/>
      <c r="R209" s="24"/>
      <c r="T209" s="131"/>
      <c r="U209" s="30" t="s">
        <v>40</v>
      </c>
      <c r="V209" s="132">
        <v>0</v>
      </c>
      <c r="W209" s="132">
        <f>$V$209*$K$209</f>
        <v>0</v>
      </c>
      <c r="X209" s="132">
        <v>0.012</v>
      </c>
      <c r="Y209" s="132">
        <f>$X$209*$K$209</f>
        <v>0.036000000000000004</v>
      </c>
      <c r="Z209" s="132">
        <v>0</v>
      </c>
      <c r="AA209" s="133">
        <f>$Z$209*$K$209</f>
        <v>0</v>
      </c>
      <c r="AR209" s="6" t="s">
        <v>194</v>
      </c>
      <c r="AT209" s="6" t="s">
        <v>201</v>
      </c>
      <c r="AU209" s="6" t="s">
        <v>103</v>
      </c>
      <c r="AY209" s="6" t="s">
        <v>172</v>
      </c>
      <c r="BE209" s="82">
        <f>IF($U$209="základní",$N$209,0)</f>
        <v>0</v>
      </c>
      <c r="BF209" s="82">
        <f>IF($U$209="snížená",$N$209,0)</f>
        <v>0</v>
      </c>
      <c r="BG209" s="82">
        <f>IF($U$209="zákl. přenesena",$N$209,0)</f>
        <v>0</v>
      </c>
      <c r="BH209" s="82">
        <f>IF($U$209="sníž. přenesena",$N$209,0)</f>
        <v>0</v>
      </c>
      <c r="BI209" s="82">
        <f>IF($U$209="nulová",$N$209,0)</f>
        <v>0</v>
      </c>
      <c r="BJ209" s="6" t="s">
        <v>103</v>
      </c>
    </row>
    <row r="210" spans="2:62" s="6" customFormat="1" ht="15.75" customHeight="1">
      <c r="B210" s="22"/>
      <c r="C210" s="134" t="s">
        <v>373</v>
      </c>
      <c r="D210" s="134" t="s">
        <v>201</v>
      </c>
      <c r="E210" s="135" t="s">
        <v>374</v>
      </c>
      <c r="F210" s="214" t="s">
        <v>375</v>
      </c>
      <c r="G210" s="215"/>
      <c r="H210" s="215"/>
      <c r="I210" s="215"/>
      <c r="J210" s="136" t="s">
        <v>260</v>
      </c>
      <c r="K210" s="137">
        <v>15</v>
      </c>
      <c r="L210" s="216">
        <v>0</v>
      </c>
      <c r="M210" s="215"/>
      <c r="N210" s="217">
        <f>ROUND($L$210*$K$210,2)</f>
        <v>0</v>
      </c>
      <c r="O210" s="211"/>
      <c r="P210" s="211"/>
      <c r="Q210" s="211"/>
      <c r="R210" s="24"/>
      <c r="T210" s="131"/>
      <c r="U210" s="30" t="s">
        <v>40</v>
      </c>
      <c r="V210" s="132">
        <v>0</v>
      </c>
      <c r="W210" s="132">
        <f>$V$210*$K$210</f>
        <v>0</v>
      </c>
      <c r="X210" s="132">
        <v>0.01</v>
      </c>
      <c r="Y210" s="132">
        <f>$X$210*$K$210</f>
        <v>0.15</v>
      </c>
      <c r="Z210" s="132">
        <v>0</v>
      </c>
      <c r="AA210" s="133">
        <f>$Z$210*$K$210</f>
        <v>0</v>
      </c>
      <c r="AR210" s="6" t="s">
        <v>194</v>
      </c>
      <c r="AT210" s="6" t="s">
        <v>201</v>
      </c>
      <c r="AU210" s="6" t="s">
        <v>103</v>
      </c>
      <c r="AY210" s="6" t="s">
        <v>172</v>
      </c>
      <c r="BE210" s="82">
        <f>IF($U$210="základní",$N$210,0)</f>
        <v>0</v>
      </c>
      <c r="BF210" s="82">
        <f>IF($U$210="snížená",$N$210,0)</f>
        <v>0</v>
      </c>
      <c r="BG210" s="82">
        <f>IF($U$210="zákl. přenesena",$N$210,0)</f>
        <v>0</v>
      </c>
      <c r="BH210" s="82">
        <f>IF($U$210="sníž. přenesena",$N$210,0)</f>
        <v>0</v>
      </c>
      <c r="BI210" s="82">
        <f>IF($U$210="nulová",$N$210,0)</f>
        <v>0</v>
      </c>
      <c r="BJ210" s="6" t="s">
        <v>103</v>
      </c>
    </row>
    <row r="211" spans="2:62" s="6" customFormat="1" ht="27" customHeight="1">
      <c r="B211" s="22"/>
      <c r="C211" s="127" t="s">
        <v>376</v>
      </c>
      <c r="D211" s="127" t="s">
        <v>173</v>
      </c>
      <c r="E211" s="128" t="s">
        <v>377</v>
      </c>
      <c r="F211" s="210" t="s">
        <v>378</v>
      </c>
      <c r="G211" s="211"/>
      <c r="H211" s="211"/>
      <c r="I211" s="211"/>
      <c r="J211" s="129" t="s">
        <v>179</v>
      </c>
      <c r="K211" s="130">
        <v>1.2</v>
      </c>
      <c r="L211" s="212">
        <v>0</v>
      </c>
      <c r="M211" s="211"/>
      <c r="N211" s="213">
        <f>ROUND($L$211*$K$211,2)</f>
        <v>0</v>
      </c>
      <c r="O211" s="211"/>
      <c r="P211" s="211"/>
      <c r="Q211" s="211"/>
      <c r="R211" s="24"/>
      <c r="T211" s="131"/>
      <c r="U211" s="30" t="s">
        <v>40</v>
      </c>
      <c r="V211" s="132">
        <v>1.52</v>
      </c>
      <c r="W211" s="132">
        <f>$V$211*$K$211</f>
        <v>1.8239999999999998</v>
      </c>
      <c r="X211" s="132">
        <v>0.00131</v>
      </c>
      <c r="Y211" s="132">
        <f>$X$211*$K$211</f>
        <v>0.0015719999999999998</v>
      </c>
      <c r="Z211" s="132">
        <v>1.8</v>
      </c>
      <c r="AA211" s="133">
        <f>$Z$211*$K$211</f>
        <v>2.16</v>
      </c>
      <c r="AR211" s="6" t="s">
        <v>116</v>
      </c>
      <c r="AT211" s="6" t="s">
        <v>173</v>
      </c>
      <c r="AU211" s="6" t="s">
        <v>103</v>
      </c>
      <c r="AY211" s="6" t="s">
        <v>172</v>
      </c>
      <c r="BE211" s="82">
        <f>IF($U$211="základní",$N$211,0)</f>
        <v>0</v>
      </c>
      <c r="BF211" s="82">
        <f>IF($U$211="snížená",$N$211,0)</f>
        <v>0</v>
      </c>
      <c r="BG211" s="82">
        <f>IF($U$211="zákl. přenesena",$N$211,0)</f>
        <v>0</v>
      </c>
      <c r="BH211" s="82">
        <f>IF($U$211="sníž. přenesena",$N$211,0)</f>
        <v>0</v>
      </c>
      <c r="BI211" s="82">
        <f>IF($U$211="nulová",$N$211,0)</f>
        <v>0</v>
      </c>
      <c r="BJ211" s="6" t="s">
        <v>103</v>
      </c>
    </row>
    <row r="212" spans="2:62" s="6" customFormat="1" ht="27" customHeight="1">
      <c r="B212" s="22"/>
      <c r="C212" s="127" t="s">
        <v>379</v>
      </c>
      <c r="D212" s="127" t="s">
        <v>173</v>
      </c>
      <c r="E212" s="128" t="s">
        <v>380</v>
      </c>
      <c r="F212" s="210" t="s">
        <v>381</v>
      </c>
      <c r="G212" s="211"/>
      <c r="H212" s="211"/>
      <c r="I212" s="211"/>
      <c r="J212" s="129" t="s">
        <v>176</v>
      </c>
      <c r="K212" s="130">
        <v>1.725</v>
      </c>
      <c r="L212" s="212">
        <v>0</v>
      </c>
      <c r="M212" s="211"/>
      <c r="N212" s="213">
        <f>ROUND($L$212*$K$212,2)</f>
        <v>0</v>
      </c>
      <c r="O212" s="211"/>
      <c r="P212" s="211"/>
      <c r="Q212" s="211"/>
      <c r="R212" s="24"/>
      <c r="T212" s="131"/>
      <c r="U212" s="30" t="s">
        <v>40</v>
      </c>
      <c r="V212" s="132">
        <v>3.33</v>
      </c>
      <c r="W212" s="132">
        <f>$V$212*$K$212</f>
        <v>5.74425</v>
      </c>
      <c r="X212" s="132">
        <v>0</v>
      </c>
      <c r="Y212" s="132">
        <f>$X$212*$K$212</f>
        <v>0</v>
      </c>
      <c r="Z212" s="132">
        <v>0.36</v>
      </c>
      <c r="AA212" s="133">
        <f>$Z$212*$K$212</f>
        <v>0.621</v>
      </c>
      <c r="AR212" s="6" t="s">
        <v>116</v>
      </c>
      <c r="AT212" s="6" t="s">
        <v>173</v>
      </c>
      <c r="AU212" s="6" t="s">
        <v>103</v>
      </c>
      <c r="AY212" s="6" t="s">
        <v>172</v>
      </c>
      <c r="BE212" s="82">
        <f>IF($U$212="základní",$N$212,0)</f>
        <v>0</v>
      </c>
      <c r="BF212" s="82">
        <f>IF($U$212="snížená",$N$212,0)</f>
        <v>0</v>
      </c>
      <c r="BG212" s="82">
        <f>IF($U$212="zákl. přenesena",$N$212,0)</f>
        <v>0</v>
      </c>
      <c r="BH212" s="82">
        <f>IF($U$212="sníž. přenesena",$N$212,0)</f>
        <v>0</v>
      </c>
      <c r="BI212" s="82">
        <f>IF($U$212="nulová",$N$212,0)</f>
        <v>0</v>
      </c>
      <c r="BJ212" s="6" t="s">
        <v>103</v>
      </c>
    </row>
    <row r="213" spans="2:62" s="6" customFormat="1" ht="27" customHeight="1">
      <c r="B213" s="22"/>
      <c r="C213" s="127" t="s">
        <v>382</v>
      </c>
      <c r="D213" s="127" t="s">
        <v>173</v>
      </c>
      <c r="E213" s="128" t="s">
        <v>383</v>
      </c>
      <c r="F213" s="210" t="s">
        <v>384</v>
      </c>
      <c r="G213" s="211"/>
      <c r="H213" s="211"/>
      <c r="I213" s="211"/>
      <c r="J213" s="129" t="s">
        <v>176</v>
      </c>
      <c r="K213" s="130">
        <v>19</v>
      </c>
      <c r="L213" s="212">
        <v>0</v>
      </c>
      <c r="M213" s="211"/>
      <c r="N213" s="213">
        <f>ROUND($L$213*$K$213,2)</f>
        <v>0</v>
      </c>
      <c r="O213" s="211"/>
      <c r="P213" s="211"/>
      <c r="Q213" s="211"/>
      <c r="R213" s="24"/>
      <c r="T213" s="131"/>
      <c r="U213" s="30" t="s">
        <v>40</v>
      </c>
      <c r="V213" s="132">
        <v>0.5</v>
      </c>
      <c r="W213" s="132">
        <f>$V$213*$K$213</f>
        <v>9.5</v>
      </c>
      <c r="X213" s="132">
        <v>0</v>
      </c>
      <c r="Y213" s="132">
        <f>$X$213*$K$213</f>
        <v>0</v>
      </c>
      <c r="Z213" s="132">
        <v>0.183</v>
      </c>
      <c r="AA213" s="133">
        <f>$Z$213*$K$213</f>
        <v>3.477</v>
      </c>
      <c r="AR213" s="6" t="s">
        <v>116</v>
      </c>
      <c r="AT213" s="6" t="s">
        <v>173</v>
      </c>
      <c r="AU213" s="6" t="s">
        <v>103</v>
      </c>
      <c r="AY213" s="6" t="s">
        <v>172</v>
      </c>
      <c r="BE213" s="82">
        <f>IF($U$213="základní",$N$213,0)</f>
        <v>0</v>
      </c>
      <c r="BF213" s="82">
        <f>IF($U$213="snížená",$N$213,0)</f>
        <v>0</v>
      </c>
      <c r="BG213" s="82">
        <f>IF($U$213="zákl. přenesena",$N$213,0)</f>
        <v>0</v>
      </c>
      <c r="BH213" s="82">
        <f>IF($U$213="sníž. přenesena",$N$213,0)</f>
        <v>0</v>
      </c>
      <c r="BI213" s="82">
        <f>IF($U$213="nulová",$N$213,0)</f>
        <v>0</v>
      </c>
      <c r="BJ213" s="6" t="s">
        <v>103</v>
      </c>
    </row>
    <row r="214" spans="2:62" s="6" customFormat="1" ht="27" customHeight="1">
      <c r="B214" s="22"/>
      <c r="C214" s="127" t="s">
        <v>385</v>
      </c>
      <c r="D214" s="127" t="s">
        <v>173</v>
      </c>
      <c r="E214" s="128" t="s">
        <v>386</v>
      </c>
      <c r="F214" s="210" t="s">
        <v>387</v>
      </c>
      <c r="G214" s="211"/>
      <c r="H214" s="211"/>
      <c r="I214" s="211"/>
      <c r="J214" s="129" t="s">
        <v>176</v>
      </c>
      <c r="K214" s="130">
        <v>3.333</v>
      </c>
      <c r="L214" s="212">
        <v>0</v>
      </c>
      <c r="M214" s="211"/>
      <c r="N214" s="213">
        <f>ROUND($L$214*$K$214,2)</f>
        <v>0</v>
      </c>
      <c r="O214" s="211"/>
      <c r="P214" s="211"/>
      <c r="Q214" s="211"/>
      <c r="R214" s="24"/>
      <c r="T214" s="131"/>
      <c r="U214" s="30" t="s">
        <v>40</v>
      </c>
      <c r="V214" s="132">
        <v>2.347</v>
      </c>
      <c r="W214" s="132">
        <f>$V$214*$K$214</f>
        <v>7.822551000000001</v>
      </c>
      <c r="X214" s="132">
        <v>0.00034</v>
      </c>
      <c r="Y214" s="132">
        <f>$X$214*$K$214</f>
        <v>0.00113322</v>
      </c>
      <c r="Z214" s="132">
        <v>0.375</v>
      </c>
      <c r="AA214" s="133">
        <f>$Z$214*$K$214</f>
        <v>1.249875</v>
      </c>
      <c r="AR214" s="6" t="s">
        <v>116</v>
      </c>
      <c r="AT214" s="6" t="s">
        <v>173</v>
      </c>
      <c r="AU214" s="6" t="s">
        <v>103</v>
      </c>
      <c r="AY214" s="6" t="s">
        <v>172</v>
      </c>
      <c r="BE214" s="82">
        <f>IF($U$214="základní",$N$214,0)</f>
        <v>0</v>
      </c>
      <c r="BF214" s="82">
        <f>IF($U$214="snížená",$N$214,0)</f>
        <v>0</v>
      </c>
      <c r="BG214" s="82">
        <f>IF($U$214="zákl. přenesena",$N$214,0)</f>
        <v>0</v>
      </c>
      <c r="BH214" s="82">
        <f>IF($U$214="sníž. přenesena",$N$214,0)</f>
        <v>0</v>
      </c>
      <c r="BI214" s="82">
        <f>IF($U$214="nulová",$N$214,0)</f>
        <v>0</v>
      </c>
      <c r="BJ214" s="6" t="s">
        <v>103</v>
      </c>
    </row>
    <row r="215" spans="2:62" s="6" customFormat="1" ht="27" customHeight="1">
      <c r="B215" s="22"/>
      <c r="C215" s="127" t="s">
        <v>388</v>
      </c>
      <c r="D215" s="127" t="s">
        <v>173</v>
      </c>
      <c r="E215" s="128" t="s">
        <v>389</v>
      </c>
      <c r="F215" s="210" t="s">
        <v>390</v>
      </c>
      <c r="G215" s="211"/>
      <c r="H215" s="211"/>
      <c r="I215" s="211"/>
      <c r="J215" s="129" t="s">
        <v>176</v>
      </c>
      <c r="K215" s="130">
        <v>2.39</v>
      </c>
      <c r="L215" s="212">
        <v>0</v>
      </c>
      <c r="M215" s="211"/>
      <c r="N215" s="213">
        <f>ROUND($L$215*$K$215,2)</f>
        <v>0</v>
      </c>
      <c r="O215" s="211"/>
      <c r="P215" s="211"/>
      <c r="Q215" s="211"/>
      <c r="R215" s="24"/>
      <c r="T215" s="131"/>
      <c r="U215" s="30" t="s">
        <v>40</v>
      </c>
      <c r="V215" s="132">
        <v>0.955</v>
      </c>
      <c r="W215" s="132">
        <f>$V$215*$K$215</f>
        <v>2.28245</v>
      </c>
      <c r="X215" s="132">
        <v>0.00225</v>
      </c>
      <c r="Y215" s="132">
        <f>$X$215*$K$215</f>
        <v>0.0053774999999999995</v>
      </c>
      <c r="Z215" s="132">
        <v>0.075</v>
      </c>
      <c r="AA215" s="133">
        <f>$Z$215*$K$215</f>
        <v>0.17925</v>
      </c>
      <c r="AR215" s="6" t="s">
        <v>116</v>
      </c>
      <c r="AT215" s="6" t="s">
        <v>173</v>
      </c>
      <c r="AU215" s="6" t="s">
        <v>103</v>
      </c>
      <c r="AY215" s="6" t="s">
        <v>172</v>
      </c>
      <c r="BE215" s="82">
        <f>IF($U$215="základní",$N$215,0)</f>
        <v>0</v>
      </c>
      <c r="BF215" s="82">
        <f>IF($U$215="snížená",$N$215,0)</f>
        <v>0</v>
      </c>
      <c r="BG215" s="82">
        <f>IF($U$215="zákl. přenesena",$N$215,0)</f>
        <v>0</v>
      </c>
      <c r="BH215" s="82">
        <f>IF($U$215="sníž. přenesena",$N$215,0)</f>
        <v>0</v>
      </c>
      <c r="BI215" s="82">
        <f>IF($U$215="nulová",$N$215,0)</f>
        <v>0</v>
      </c>
      <c r="BJ215" s="6" t="s">
        <v>103</v>
      </c>
    </row>
    <row r="216" spans="2:62" s="6" customFormat="1" ht="27" customHeight="1">
      <c r="B216" s="22"/>
      <c r="C216" s="127" t="s">
        <v>391</v>
      </c>
      <c r="D216" s="127" t="s">
        <v>173</v>
      </c>
      <c r="E216" s="128" t="s">
        <v>392</v>
      </c>
      <c r="F216" s="210" t="s">
        <v>393</v>
      </c>
      <c r="G216" s="211"/>
      <c r="H216" s="211"/>
      <c r="I216" s="211"/>
      <c r="J216" s="129" t="s">
        <v>176</v>
      </c>
      <c r="K216" s="130">
        <v>22.55</v>
      </c>
      <c r="L216" s="212">
        <v>0</v>
      </c>
      <c r="M216" s="211"/>
      <c r="N216" s="213">
        <f>ROUND($L$216*$K$216,2)</f>
        <v>0</v>
      </c>
      <c r="O216" s="211"/>
      <c r="P216" s="211"/>
      <c r="Q216" s="211"/>
      <c r="R216" s="24"/>
      <c r="T216" s="131"/>
      <c r="U216" s="30" t="s">
        <v>40</v>
      </c>
      <c r="V216" s="132">
        <v>0.465</v>
      </c>
      <c r="W216" s="132">
        <f>$V$216*$K$216</f>
        <v>10.485750000000001</v>
      </c>
      <c r="X216" s="132">
        <v>0.00094</v>
      </c>
      <c r="Y216" s="132">
        <f>$X$216*$K$216</f>
        <v>0.021197</v>
      </c>
      <c r="Z216" s="132">
        <v>0.054</v>
      </c>
      <c r="AA216" s="133">
        <f>$Z$216*$K$216</f>
        <v>1.2177</v>
      </c>
      <c r="AR216" s="6" t="s">
        <v>116</v>
      </c>
      <c r="AT216" s="6" t="s">
        <v>173</v>
      </c>
      <c r="AU216" s="6" t="s">
        <v>103</v>
      </c>
      <c r="AY216" s="6" t="s">
        <v>172</v>
      </c>
      <c r="BE216" s="82">
        <f>IF($U$216="základní",$N$216,0)</f>
        <v>0</v>
      </c>
      <c r="BF216" s="82">
        <f>IF($U$216="snížená",$N$216,0)</f>
        <v>0</v>
      </c>
      <c r="BG216" s="82">
        <f>IF($U$216="zákl. přenesena",$N$216,0)</f>
        <v>0</v>
      </c>
      <c r="BH216" s="82">
        <f>IF($U$216="sníž. přenesena",$N$216,0)</f>
        <v>0</v>
      </c>
      <c r="BI216" s="82">
        <f>IF($U$216="nulová",$N$216,0)</f>
        <v>0</v>
      </c>
      <c r="BJ216" s="6" t="s">
        <v>103</v>
      </c>
    </row>
    <row r="217" spans="2:62" s="6" customFormat="1" ht="27" customHeight="1">
      <c r="B217" s="22"/>
      <c r="C217" s="127" t="s">
        <v>394</v>
      </c>
      <c r="D217" s="127" t="s">
        <v>173</v>
      </c>
      <c r="E217" s="128" t="s">
        <v>395</v>
      </c>
      <c r="F217" s="210" t="s">
        <v>396</v>
      </c>
      <c r="G217" s="211"/>
      <c r="H217" s="211"/>
      <c r="I217" s="211"/>
      <c r="J217" s="129" t="s">
        <v>176</v>
      </c>
      <c r="K217" s="130">
        <v>5.6</v>
      </c>
      <c r="L217" s="212">
        <v>0</v>
      </c>
      <c r="M217" s="211"/>
      <c r="N217" s="213">
        <f>ROUND($L$217*$K$217,2)</f>
        <v>0</v>
      </c>
      <c r="O217" s="211"/>
      <c r="P217" s="211"/>
      <c r="Q217" s="211"/>
      <c r="R217" s="24"/>
      <c r="T217" s="131"/>
      <c r="U217" s="30" t="s">
        <v>40</v>
      </c>
      <c r="V217" s="132">
        <v>0.913</v>
      </c>
      <c r="W217" s="132">
        <f>$V$217*$K$217</f>
        <v>5.1128</v>
      </c>
      <c r="X217" s="132">
        <v>0.00311</v>
      </c>
      <c r="Y217" s="132">
        <f>$X$217*$K$217</f>
        <v>0.017415999999999997</v>
      </c>
      <c r="Z217" s="132">
        <v>0.065</v>
      </c>
      <c r="AA217" s="133">
        <f>$Z$217*$K$217</f>
        <v>0.364</v>
      </c>
      <c r="AR217" s="6" t="s">
        <v>116</v>
      </c>
      <c r="AT217" s="6" t="s">
        <v>173</v>
      </c>
      <c r="AU217" s="6" t="s">
        <v>103</v>
      </c>
      <c r="AY217" s="6" t="s">
        <v>172</v>
      </c>
      <c r="BE217" s="82">
        <f>IF($U$217="základní",$N$217,0)</f>
        <v>0</v>
      </c>
      <c r="BF217" s="82">
        <f>IF($U$217="snížená",$N$217,0)</f>
        <v>0</v>
      </c>
      <c r="BG217" s="82">
        <f>IF($U$217="zákl. přenesena",$N$217,0)</f>
        <v>0</v>
      </c>
      <c r="BH217" s="82">
        <f>IF($U$217="sníž. přenesena",$N$217,0)</f>
        <v>0</v>
      </c>
      <c r="BI217" s="82">
        <f>IF($U$217="nulová",$N$217,0)</f>
        <v>0</v>
      </c>
      <c r="BJ217" s="6" t="s">
        <v>103</v>
      </c>
    </row>
    <row r="218" spans="2:62" s="6" customFormat="1" ht="27" customHeight="1">
      <c r="B218" s="22"/>
      <c r="C218" s="127" t="s">
        <v>397</v>
      </c>
      <c r="D218" s="127" t="s">
        <v>173</v>
      </c>
      <c r="E218" s="128" t="s">
        <v>398</v>
      </c>
      <c r="F218" s="210" t="s">
        <v>399</v>
      </c>
      <c r="G218" s="211"/>
      <c r="H218" s="211"/>
      <c r="I218" s="211"/>
      <c r="J218" s="129" t="s">
        <v>176</v>
      </c>
      <c r="K218" s="130">
        <v>2.549</v>
      </c>
      <c r="L218" s="212">
        <v>0</v>
      </c>
      <c r="M218" s="211"/>
      <c r="N218" s="213">
        <f>ROUND($L$218*$K$218,2)</f>
        <v>0</v>
      </c>
      <c r="O218" s="211"/>
      <c r="P218" s="211"/>
      <c r="Q218" s="211"/>
      <c r="R218" s="24"/>
      <c r="T218" s="131"/>
      <c r="U218" s="30" t="s">
        <v>40</v>
      </c>
      <c r="V218" s="132">
        <v>0.939</v>
      </c>
      <c r="W218" s="132">
        <f>$V$218*$K$218</f>
        <v>2.3935109999999997</v>
      </c>
      <c r="X218" s="132">
        <v>0.0012</v>
      </c>
      <c r="Y218" s="132">
        <f>$X$218*$K$218</f>
        <v>0.0030587999999999995</v>
      </c>
      <c r="Z218" s="132">
        <v>0.076</v>
      </c>
      <c r="AA218" s="133">
        <f>$Z$218*$K$218</f>
        <v>0.19372399999999998</v>
      </c>
      <c r="AR218" s="6" t="s">
        <v>116</v>
      </c>
      <c r="AT218" s="6" t="s">
        <v>173</v>
      </c>
      <c r="AU218" s="6" t="s">
        <v>103</v>
      </c>
      <c r="AY218" s="6" t="s">
        <v>172</v>
      </c>
      <c r="BE218" s="82">
        <f>IF($U$218="základní",$N$218,0)</f>
        <v>0</v>
      </c>
      <c r="BF218" s="82">
        <f>IF($U$218="snížená",$N$218,0)</f>
        <v>0</v>
      </c>
      <c r="BG218" s="82">
        <f>IF($U$218="zákl. přenesena",$N$218,0)</f>
        <v>0</v>
      </c>
      <c r="BH218" s="82">
        <f>IF($U$218="sníž. přenesena",$N$218,0)</f>
        <v>0</v>
      </c>
      <c r="BI218" s="82">
        <f>IF($U$218="nulová",$N$218,0)</f>
        <v>0</v>
      </c>
      <c r="BJ218" s="6" t="s">
        <v>103</v>
      </c>
    </row>
    <row r="219" spans="2:62" s="6" customFormat="1" ht="27" customHeight="1">
      <c r="B219" s="22"/>
      <c r="C219" s="127" t="s">
        <v>400</v>
      </c>
      <c r="D219" s="127" t="s">
        <v>173</v>
      </c>
      <c r="E219" s="128" t="s">
        <v>401</v>
      </c>
      <c r="F219" s="210" t="s">
        <v>402</v>
      </c>
      <c r="G219" s="211"/>
      <c r="H219" s="211"/>
      <c r="I219" s="211"/>
      <c r="J219" s="129" t="s">
        <v>260</v>
      </c>
      <c r="K219" s="130">
        <v>72</v>
      </c>
      <c r="L219" s="212">
        <v>0</v>
      </c>
      <c r="M219" s="211"/>
      <c r="N219" s="213">
        <f>ROUND($L$219*$K$219,2)</f>
        <v>0</v>
      </c>
      <c r="O219" s="211"/>
      <c r="P219" s="211"/>
      <c r="Q219" s="211"/>
      <c r="R219" s="24"/>
      <c r="T219" s="131"/>
      <c r="U219" s="30" t="s">
        <v>40</v>
      </c>
      <c r="V219" s="132">
        <v>0.542</v>
      </c>
      <c r="W219" s="132">
        <f>$V$219*$K$219</f>
        <v>39.024</v>
      </c>
      <c r="X219" s="132">
        <v>0.0005</v>
      </c>
      <c r="Y219" s="132">
        <f>$X$219*$K$219</f>
        <v>0.036000000000000004</v>
      </c>
      <c r="Z219" s="132">
        <v>0.015</v>
      </c>
      <c r="AA219" s="133">
        <f>$Z$219*$K$219</f>
        <v>1.08</v>
      </c>
      <c r="AR219" s="6" t="s">
        <v>116</v>
      </c>
      <c r="AT219" s="6" t="s">
        <v>173</v>
      </c>
      <c r="AU219" s="6" t="s">
        <v>103</v>
      </c>
      <c r="AY219" s="6" t="s">
        <v>172</v>
      </c>
      <c r="BE219" s="82">
        <f>IF($U$219="základní",$N$219,0)</f>
        <v>0</v>
      </c>
      <c r="BF219" s="82">
        <f>IF($U$219="snížená",$N$219,0)</f>
        <v>0</v>
      </c>
      <c r="BG219" s="82">
        <f>IF($U$219="zákl. přenesena",$N$219,0)</f>
        <v>0</v>
      </c>
      <c r="BH219" s="82">
        <f>IF($U$219="sníž. přenesena",$N$219,0)</f>
        <v>0</v>
      </c>
      <c r="BI219" s="82">
        <f>IF($U$219="nulová",$N$219,0)</f>
        <v>0</v>
      </c>
      <c r="BJ219" s="6" t="s">
        <v>103</v>
      </c>
    </row>
    <row r="220" spans="2:62" s="6" customFormat="1" ht="27" customHeight="1">
      <c r="B220" s="22"/>
      <c r="C220" s="127" t="s">
        <v>403</v>
      </c>
      <c r="D220" s="127" t="s">
        <v>173</v>
      </c>
      <c r="E220" s="128" t="s">
        <v>404</v>
      </c>
      <c r="F220" s="210" t="s">
        <v>405</v>
      </c>
      <c r="G220" s="211"/>
      <c r="H220" s="211"/>
      <c r="I220" s="211"/>
      <c r="J220" s="129" t="s">
        <v>247</v>
      </c>
      <c r="K220" s="130">
        <v>7</v>
      </c>
      <c r="L220" s="212">
        <v>0</v>
      </c>
      <c r="M220" s="211"/>
      <c r="N220" s="213">
        <f>ROUND($L$220*$K$220,2)</f>
        <v>0</v>
      </c>
      <c r="O220" s="211"/>
      <c r="P220" s="211"/>
      <c r="Q220" s="211"/>
      <c r="R220" s="24"/>
      <c r="T220" s="131"/>
      <c r="U220" s="30" t="s">
        <v>40</v>
      </c>
      <c r="V220" s="132">
        <v>0.205</v>
      </c>
      <c r="W220" s="132">
        <f>$V$220*$K$220</f>
        <v>1.4349999999999998</v>
      </c>
      <c r="X220" s="132">
        <v>0</v>
      </c>
      <c r="Y220" s="132">
        <f>$X$220*$K$220</f>
        <v>0</v>
      </c>
      <c r="Z220" s="132">
        <v>0.002</v>
      </c>
      <c r="AA220" s="133">
        <f>$Z$220*$K$220</f>
        <v>0.014</v>
      </c>
      <c r="AR220" s="6" t="s">
        <v>116</v>
      </c>
      <c r="AT220" s="6" t="s">
        <v>173</v>
      </c>
      <c r="AU220" s="6" t="s">
        <v>103</v>
      </c>
      <c r="AY220" s="6" t="s">
        <v>172</v>
      </c>
      <c r="BE220" s="82">
        <f>IF($U$220="základní",$N$220,0)</f>
        <v>0</v>
      </c>
      <c r="BF220" s="82">
        <f>IF($U$220="snížená",$N$220,0)</f>
        <v>0</v>
      </c>
      <c r="BG220" s="82">
        <f>IF($U$220="zákl. přenesena",$N$220,0)</f>
        <v>0</v>
      </c>
      <c r="BH220" s="82">
        <f>IF($U$220="sníž. přenesena",$N$220,0)</f>
        <v>0</v>
      </c>
      <c r="BI220" s="82">
        <f>IF($U$220="nulová",$N$220,0)</f>
        <v>0</v>
      </c>
      <c r="BJ220" s="6" t="s">
        <v>103</v>
      </c>
    </row>
    <row r="221" spans="2:62" s="6" customFormat="1" ht="27" customHeight="1">
      <c r="B221" s="22"/>
      <c r="C221" s="127" t="s">
        <v>406</v>
      </c>
      <c r="D221" s="127" t="s">
        <v>173</v>
      </c>
      <c r="E221" s="128" t="s">
        <v>407</v>
      </c>
      <c r="F221" s="210" t="s">
        <v>408</v>
      </c>
      <c r="G221" s="211"/>
      <c r="H221" s="211"/>
      <c r="I221" s="211"/>
      <c r="J221" s="129" t="s">
        <v>247</v>
      </c>
      <c r="K221" s="130">
        <v>55</v>
      </c>
      <c r="L221" s="212">
        <v>0</v>
      </c>
      <c r="M221" s="211"/>
      <c r="N221" s="213">
        <f>ROUND($L$221*$K$221,2)</f>
        <v>0</v>
      </c>
      <c r="O221" s="211"/>
      <c r="P221" s="211"/>
      <c r="Q221" s="211"/>
      <c r="R221" s="24"/>
      <c r="T221" s="131"/>
      <c r="U221" s="30" t="s">
        <v>40</v>
      </c>
      <c r="V221" s="132">
        <v>0.595</v>
      </c>
      <c r="W221" s="132">
        <f>$V$221*$K$221</f>
        <v>32.725</v>
      </c>
      <c r="X221" s="132">
        <v>0.0005</v>
      </c>
      <c r="Y221" s="132">
        <f>$X$221*$K$221</f>
        <v>0.0275</v>
      </c>
      <c r="Z221" s="132">
        <v>0.038</v>
      </c>
      <c r="AA221" s="133">
        <f>$Z$221*$K$221</f>
        <v>2.09</v>
      </c>
      <c r="AR221" s="6" t="s">
        <v>116</v>
      </c>
      <c r="AT221" s="6" t="s">
        <v>173</v>
      </c>
      <c r="AU221" s="6" t="s">
        <v>103</v>
      </c>
      <c r="AY221" s="6" t="s">
        <v>172</v>
      </c>
      <c r="BE221" s="82">
        <f>IF($U$221="základní",$N$221,0)</f>
        <v>0</v>
      </c>
      <c r="BF221" s="82">
        <f>IF($U$221="snížená",$N$221,0)</f>
        <v>0</v>
      </c>
      <c r="BG221" s="82">
        <f>IF($U$221="zákl. přenesena",$N$221,0)</f>
        <v>0</v>
      </c>
      <c r="BH221" s="82">
        <f>IF($U$221="sníž. přenesena",$N$221,0)</f>
        <v>0</v>
      </c>
      <c r="BI221" s="82">
        <f>IF($U$221="nulová",$N$221,0)</f>
        <v>0</v>
      </c>
      <c r="BJ221" s="6" t="s">
        <v>103</v>
      </c>
    </row>
    <row r="222" spans="2:62" s="6" customFormat="1" ht="15.75" customHeight="1">
      <c r="B222" s="22"/>
      <c r="C222" s="127" t="s">
        <v>409</v>
      </c>
      <c r="D222" s="127" t="s">
        <v>173</v>
      </c>
      <c r="E222" s="128" t="s">
        <v>410</v>
      </c>
      <c r="F222" s="210" t="s">
        <v>411</v>
      </c>
      <c r="G222" s="211"/>
      <c r="H222" s="211"/>
      <c r="I222" s="211"/>
      <c r="J222" s="129" t="s">
        <v>247</v>
      </c>
      <c r="K222" s="130">
        <v>3.2</v>
      </c>
      <c r="L222" s="212">
        <v>0</v>
      </c>
      <c r="M222" s="211"/>
      <c r="N222" s="213">
        <f>ROUND($L$222*$K$222,2)</f>
        <v>0</v>
      </c>
      <c r="O222" s="211"/>
      <c r="P222" s="211"/>
      <c r="Q222" s="211"/>
      <c r="R222" s="24"/>
      <c r="T222" s="131"/>
      <c r="U222" s="30" t="s">
        <v>40</v>
      </c>
      <c r="V222" s="132">
        <v>0.55</v>
      </c>
      <c r="W222" s="132">
        <f>$V$222*$K$222</f>
        <v>1.7600000000000002</v>
      </c>
      <c r="X222" s="132">
        <v>0</v>
      </c>
      <c r="Y222" s="132">
        <f>$X$222*$K$222</f>
        <v>0</v>
      </c>
      <c r="Z222" s="132">
        <v>0.037</v>
      </c>
      <c r="AA222" s="133">
        <f>$Z$222*$K$222</f>
        <v>0.1184</v>
      </c>
      <c r="AR222" s="6" t="s">
        <v>116</v>
      </c>
      <c r="AT222" s="6" t="s">
        <v>173</v>
      </c>
      <c r="AU222" s="6" t="s">
        <v>103</v>
      </c>
      <c r="AY222" s="6" t="s">
        <v>172</v>
      </c>
      <c r="BE222" s="82">
        <f>IF($U$222="základní",$N$222,0)</f>
        <v>0</v>
      </c>
      <c r="BF222" s="82">
        <f>IF($U$222="snížená",$N$222,0)</f>
        <v>0</v>
      </c>
      <c r="BG222" s="82">
        <f>IF($U$222="zákl. přenesena",$N$222,0)</f>
        <v>0</v>
      </c>
      <c r="BH222" s="82">
        <f>IF($U$222="sníž. přenesena",$N$222,0)</f>
        <v>0</v>
      </c>
      <c r="BI222" s="82">
        <f>IF($U$222="nulová",$N$222,0)</f>
        <v>0</v>
      </c>
      <c r="BJ222" s="6" t="s">
        <v>103</v>
      </c>
    </row>
    <row r="223" spans="2:62" s="6" customFormat="1" ht="27" customHeight="1">
      <c r="B223" s="22"/>
      <c r="C223" s="127" t="s">
        <v>412</v>
      </c>
      <c r="D223" s="127" t="s">
        <v>173</v>
      </c>
      <c r="E223" s="128" t="s">
        <v>413</v>
      </c>
      <c r="F223" s="210" t="s">
        <v>414</v>
      </c>
      <c r="G223" s="211"/>
      <c r="H223" s="211"/>
      <c r="I223" s="211"/>
      <c r="J223" s="129" t="s">
        <v>176</v>
      </c>
      <c r="K223" s="130">
        <v>1029</v>
      </c>
      <c r="L223" s="212">
        <v>0</v>
      </c>
      <c r="M223" s="211"/>
      <c r="N223" s="213">
        <f>ROUND($L$223*$K$223,2)</f>
        <v>0</v>
      </c>
      <c r="O223" s="211"/>
      <c r="P223" s="211"/>
      <c r="Q223" s="211"/>
      <c r="R223" s="24"/>
      <c r="T223" s="131"/>
      <c r="U223" s="30" t="s">
        <v>40</v>
      </c>
      <c r="V223" s="132">
        <v>0.22</v>
      </c>
      <c r="W223" s="132">
        <f>$V$223*$K$223</f>
        <v>226.38</v>
      </c>
      <c r="X223" s="132">
        <v>0</v>
      </c>
      <c r="Y223" s="132">
        <f>$X$223*$K$223</f>
        <v>0</v>
      </c>
      <c r="Z223" s="132">
        <v>0.059</v>
      </c>
      <c r="AA223" s="133">
        <f>$Z$223*$K$223</f>
        <v>60.711</v>
      </c>
      <c r="AR223" s="6" t="s">
        <v>116</v>
      </c>
      <c r="AT223" s="6" t="s">
        <v>173</v>
      </c>
      <c r="AU223" s="6" t="s">
        <v>103</v>
      </c>
      <c r="AY223" s="6" t="s">
        <v>172</v>
      </c>
      <c r="BE223" s="82">
        <f>IF($U$223="základní",$N$223,0)</f>
        <v>0</v>
      </c>
      <c r="BF223" s="82">
        <f>IF($U$223="snížená",$N$223,0)</f>
        <v>0</v>
      </c>
      <c r="BG223" s="82">
        <f>IF($U$223="zákl. přenesena",$N$223,0)</f>
        <v>0</v>
      </c>
      <c r="BH223" s="82">
        <f>IF($U$223="sníž. přenesena",$N$223,0)</f>
        <v>0</v>
      </c>
      <c r="BI223" s="82">
        <f>IF($U$223="nulová",$N$223,0)</f>
        <v>0</v>
      </c>
      <c r="BJ223" s="6" t="s">
        <v>103</v>
      </c>
    </row>
    <row r="224" spans="2:62" s="6" customFormat="1" ht="27" customHeight="1">
      <c r="B224" s="22"/>
      <c r="C224" s="127" t="s">
        <v>415</v>
      </c>
      <c r="D224" s="127" t="s">
        <v>173</v>
      </c>
      <c r="E224" s="128" t="s">
        <v>416</v>
      </c>
      <c r="F224" s="210" t="s">
        <v>417</v>
      </c>
      <c r="G224" s="211"/>
      <c r="H224" s="211"/>
      <c r="I224" s="211"/>
      <c r="J224" s="129" t="s">
        <v>197</v>
      </c>
      <c r="K224" s="130">
        <v>108.782</v>
      </c>
      <c r="L224" s="212">
        <v>0</v>
      </c>
      <c r="M224" s="211"/>
      <c r="N224" s="213">
        <f>ROUND($L$224*$K$224,2)</f>
        <v>0</v>
      </c>
      <c r="O224" s="211"/>
      <c r="P224" s="211"/>
      <c r="Q224" s="211"/>
      <c r="R224" s="24"/>
      <c r="T224" s="131"/>
      <c r="U224" s="30" t="s">
        <v>40</v>
      </c>
      <c r="V224" s="132">
        <v>0.49</v>
      </c>
      <c r="W224" s="132">
        <f>$V$224*$K$224</f>
        <v>53.30318</v>
      </c>
      <c r="X224" s="132">
        <v>0</v>
      </c>
      <c r="Y224" s="132">
        <f>$X$224*$K$224</f>
        <v>0</v>
      </c>
      <c r="Z224" s="132">
        <v>0</v>
      </c>
      <c r="AA224" s="133">
        <f>$Z$224*$K$224</f>
        <v>0</v>
      </c>
      <c r="AR224" s="6" t="s">
        <v>116</v>
      </c>
      <c r="AT224" s="6" t="s">
        <v>173</v>
      </c>
      <c r="AU224" s="6" t="s">
        <v>103</v>
      </c>
      <c r="AY224" s="6" t="s">
        <v>172</v>
      </c>
      <c r="BE224" s="82">
        <f>IF($U$224="základní",$N$224,0)</f>
        <v>0</v>
      </c>
      <c r="BF224" s="82">
        <f>IF($U$224="snížená",$N$224,0)</f>
        <v>0</v>
      </c>
      <c r="BG224" s="82">
        <f>IF($U$224="zákl. přenesena",$N$224,0)</f>
        <v>0</v>
      </c>
      <c r="BH224" s="82">
        <f>IF($U$224="sníž. přenesena",$N$224,0)</f>
        <v>0</v>
      </c>
      <c r="BI224" s="82">
        <f>IF($U$224="nulová",$N$224,0)</f>
        <v>0</v>
      </c>
      <c r="BJ224" s="6" t="s">
        <v>103</v>
      </c>
    </row>
    <row r="225" spans="2:62" s="6" customFormat="1" ht="27" customHeight="1">
      <c r="B225" s="22"/>
      <c r="C225" s="127" t="s">
        <v>418</v>
      </c>
      <c r="D225" s="127" t="s">
        <v>173</v>
      </c>
      <c r="E225" s="128" t="s">
        <v>419</v>
      </c>
      <c r="F225" s="210" t="s">
        <v>420</v>
      </c>
      <c r="G225" s="211"/>
      <c r="H225" s="211"/>
      <c r="I225" s="211"/>
      <c r="J225" s="129" t="s">
        <v>197</v>
      </c>
      <c r="K225" s="130">
        <v>979.038</v>
      </c>
      <c r="L225" s="212">
        <v>0</v>
      </c>
      <c r="M225" s="211"/>
      <c r="N225" s="213">
        <f>ROUND($L$225*$K$225,2)</f>
        <v>0</v>
      </c>
      <c r="O225" s="211"/>
      <c r="P225" s="211"/>
      <c r="Q225" s="211"/>
      <c r="R225" s="24"/>
      <c r="T225" s="131"/>
      <c r="U225" s="30" t="s">
        <v>40</v>
      </c>
      <c r="V225" s="132">
        <v>0</v>
      </c>
      <c r="W225" s="132">
        <f>$V$225*$K$225</f>
        <v>0</v>
      </c>
      <c r="X225" s="132">
        <v>0</v>
      </c>
      <c r="Y225" s="132">
        <f>$X$225*$K$225</f>
        <v>0</v>
      </c>
      <c r="Z225" s="132">
        <v>0</v>
      </c>
      <c r="AA225" s="133">
        <f>$Z$225*$K$225</f>
        <v>0</v>
      </c>
      <c r="AR225" s="6" t="s">
        <v>116</v>
      </c>
      <c r="AT225" s="6" t="s">
        <v>173</v>
      </c>
      <c r="AU225" s="6" t="s">
        <v>103</v>
      </c>
      <c r="AY225" s="6" t="s">
        <v>172</v>
      </c>
      <c r="BE225" s="82">
        <f>IF($U$225="základní",$N$225,0)</f>
        <v>0</v>
      </c>
      <c r="BF225" s="82">
        <f>IF($U$225="snížená",$N$225,0)</f>
        <v>0</v>
      </c>
      <c r="BG225" s="82">
        <f>IF($U$225="zákl. přenesena",$N$225,0)</f>
        <v>0</v>
      </c>
      <c r="BH225" s="82">
        <f>IF($U$225="sníž. přenesena",$N$225,0)</f>
        <v>0</v>
      </c>
      <c r="BI225" s="82">
        <f>IF($U$225="nulová",$N$225,0)</f>
        <v>0</v>
      </c>
      <c r="BJ225" s="6" t="s">
        <v>103</v>
      </c>
    </row>
    <row r="226" spans="2:62" s="6" customFormat="1" ht="39" customHeight="1">
      <c r="B226" s="22"/>
      <c r="C226" s="127" t="s">
        <v>421</v>
      </c>
      <c r="D226" s="127" t="s">
        <v>173</v>
      </c>
      <c r="E226" s="128" t="s">
        <v>422</v>
      </c>
      <c r="F226" s="210" t="s">
        <v>423</v>
      </c>
      <c r="G226" s="211"/>
      <c r="H226" s="211"/>
      <c r="I226" s="211"/>
      <c r="J226" s="129" t="s">
        <v>197</v>
      </c>
      <c r="K226" s="130">
        <v>108.782</v>
      </c>
      <c r="L226" s="212">
        <v>0</v>
      </c>
      <c r="M226" s="211"/>
      <c r="N226" s="213">
        <f>ROUND($L$226*$K$226,2)</f>
        <v>0</v>
      </c>
      <c r="O226" s="211"/>
      <c r="P226" s="211"/>
      <c r="Q226" s="211"/>
      <c r="R226" s="24"/>
      <c r="T226" s="131"/>
      <c r="U226" s="30" t="s">
        <v>40</v>
      </c>
      <c r="V226" s="132">
        <v>2.67</v>
      </c>
      <c r="W226" s="132">
        <f>$V$226*$K$226</f>
        <v>290.44793999999996</v>
      </c>
      <c r="X226" s="132">
        <v>0</v>
      </c>
      <c r="Y226" s="132">
        <f>$X$226*$K$226</f>
        <v>0</v>
      </c>
      <c r="Z226" s="132">
        <v>0</v>
      </c>
      <c r="AA226" s="133">
        <f>$Z$226*$K$226</f>
        <v>0</v>
      </c>
      <c r="AR226" s="6" t="s">
        <v>116</v>
      </c>
      <c r="AT226" s="6" t="s">
        <v>173</v>
      </c>
      <c r="AU226" s="6" t="s">
        <v>103</v>
      </c>
      <c r="AY226" s="6" t="s">
        <v>172</v>
      </c>
      <c r="BE226" s="82">
        <f>IF($U$226="základní",$N$226,0)</f>
        <v>0</v>
      </c>
      <c r="BF226" s="82">
        <f>IF($U$226="snížená",$N$226,0)</f>
        <v>0</v>
      </c>
      <c r="BG226" s="82">
        <f>IF($U$226="zákl. přenesena",$N$226,0)</f>
        <v>0</v>
      </c>
      <c r="BH226" s="82">
        <f>IF($U$226="sníž. přenesena",$N$226,0)</f>
        <v>0</v>
      </c>
      <c r="BI226" s="82">
        <f>IF($U$226="nulová",$N$226,0)</f>
        <v>0</v>
      </c>
      <c r="BJ226" s="6" t="s">
        <v>103</v>
      </c>
    </row>
    <row r="227" spans="2:62" s="6" customFormat="1" ht="27" customHeight="1">
      <c r="B227" s="22"/>
      <c r="C227" s="127" t="s">
        <v>424</v>
      </c>
      <c r="D227" s="127" t="s">
        <v>173</v>
      </c>
      <c r="E227" s="128" t="s">
        <v>425</v>
      </c>
      <c r="F227" s="210" t="s">
        <v>426</v>
      </c>
      <c r="G227" s="211"/>
      <c r="H227" s="211"/>
      <c r="I227" s="211"/>
      <c r="J227" s="129" t="s">
        <v>197</v>
      </c>
      <c r="K227" s="130">
        <v>108.782</v>
      </c>
      <c r="L227" s="212">
        <v>0</v>
      </c>
      <c r="M227" s="211"/>
      <c r="N227" s="213">
        <f>ROUND($L$227*$K$227,2)</f>
        <v>0</v>
      </c>
      <c r="O227" s="211"/>
      <c r="P227" s="211"/>
      <c r="Q227" s="211"/>
      <c r="R227" s="24"/>
      <c r="T227" s="131"/>
      <c r="U227" s="30" t="s">
        <v>40</v>
      </c>
      <c r="V227" s="132">
        <v>0</v>
      </c>
      <c r="W227" s="132">
        <f>$V$227*$K$227</f>
        <v>0</v>
      </c>
      <c r="X227" s="132">
        <v>0</v>
      </c>
      <c r="Y227" s="132">
        <f>$X$227*$K$227</f>
        <v>0</v>
      </c>
      <c r="Z227" s="132">
        <v>0</v>
      </c>
      <c r="AA227" s="133">
        <f>$Z$227*$K$227</f>
        <v>0</v>
      </c>
      <c r="AR227" s="6" t="s">
        <v>116</v>
      </c>
      <c r="AT227" s="6" t="s">
        <v>173</v>
      </c>
      <c r="AU227" s="6" t="s">
        <v>103</v>
      </c>
      <c r="AY227" s="6" t="s">
        <v>172</v>
      </c>
      <c r="BE227" s="82">
        <f>IF($U$227="základní",$N$227,0)</f>
        <v>0</v>
      </c>
      <c r="BF227" s="82">
        <f>IF($U$227="snížená",$N$227,0)</f>
        <v>0</v>
      </c>
      <c r="BG227" s="82">
        <f>IF($U$227="zákl. přenesena",$N$227,0)</f>
        <v>0</v>
      </c>
      <c r="BH227" s="82">
        <f>IF($U$227="sníž. přenesena",$N$227,0)</f>
        <v>0</v>
      </c>
      <c r="BI227" s="82">
        <f>IF($U$227="nulová",$N$227,0)</f>
        <v>0</v>
      </c>
      <c r="BJ227" s="6" t="s">
        <v>103</v>
      </c>
    </row>
    <row r="228" spans="2:51" s="117" customFormat="1" ht="23.25" customHeight="1">
      <c r="B228" s="118"/>
      <c r="C228" s="119"/>
      <c r="D228" s="126" t="s">
        <v>133</v>
      </c>
      <c r="E228" s="119"/>
      <c r="F228" s="119"/>
      <c r="G228" s="119"/>
      <c r="H228" s="119"/>
      <c r="I228" s="119"/>
      <c r="J228" s="119"/>
      <c r="K228" s="119"/>
      <c r="L228" s="119"/>
      <c r="M228" s="119"/>
      <c r="N228" s="221">
        <f>$N$229</f>
        <v>0</v>
      </c>
      <c r="O228" s="220"/>
      <c r="P228" s="220"/>
      <c r="Q228" s="220"/>
      <c r="R228" s="121"/>
      <c r="T228" s="122"/>
      <c r="U228" s="119"/>
      <c r="V228" s="119"/>
      <c r="W228" s="123">
        <f>$W$229</f>
        <v>38.050624</v>
      </c>
      <c r="X228" s="119"/>
      <c r="Y228" s="123">
        <f>$Y$229</f>
        <v>0</v>
      </c>
      <c r="Z228" s="119"/>
      <c r="AA228" s="124">
        <f>$AA$229</f>
        <v>0</v>
      </c>
      <c r="AR228" s="125" t="s">
        <v>17</v>
      </c>
      <c r="AT228" s="125" t="s">
        <v>72</v>
      </c>
      <c r="AU228" s="125" t="s">
        <v>103</v>
      </c>
      <c r="AY228" s="125" t="s">
        <v>172</v>
      </c>
    </row>
    <row r="229" spans="2:62" s="6" customFormat="1" ht="15.75" customHeight="1">
      <c r="B229" s="22"/>
      <c r="C229" s="127" t="s">
        <v>427</v>
      </c>
      <c r="D229" s="127" t="s">
        <v>173</v>
      </c>
      <c r="E229" s="128" t="s">
        <v>428</v>
      </c>
      <c r="F229" s="210" t="s">
        <v>429</v>
      </c>
      <c r="G229" s="211"/>
      <c r="H229" s="211"/>
      <c r="I229" s="211"/>
      <c r="J229" s="129" t="s">
        <v>197</v>
      </c>
      <c r="K229" s="130">
        <v>116.008</v>
      </c>
      <c r="L229" s="212">
        <v>0</v>
      </c>
      <c r="M229" s="211"/>
      <c r="N229" s="213">
        <f>ROUND($L$229*$K$229,2)</f>
        <v>0</v>
      </c>
      <c r="O229" s="211"/>
      <c r="P229" s="211"/>
      <c r="Q229" s="211"/>
      <c r="R229" s="24"/>
      <c r="T229" s="131"/>
      <c r="U229" s="30" t="s">
        <v>40</v>
      </c>
      <c r="V229" s="132">
        <v>0.328</v>
      </c>
      <c r="W229" s="132">
        <f>$V$229*$K$229</f>
        <v>38.050624</v>
      </c>
      <c r="X229" s="132">
        <v>0</v>
      </c>
      <c r="Y229" s="132">
        <f>$X$229*$K$229</f>
        <v>0</v>
      </c>
      <c r="Z229" s="132">
        <v>0</v>
      </c>
      <c r="AA229" s="133">
        <f>$Z$229*$K$229</f>
        <v>0</v>
      </c>
      <c r="AR229" s="6" t="s">
        <v>116</v>
      </c>
      <c r="AT229" s="6" t="s">
        <v>173</v>
      </c>
      <c r="AU229" s="6" t="s">
        <v>180</v>
      </c>
      <c r="AY229" s="6" t="s">
        <v>172</v>
      </c>
      <c r="BE229" s="82">
        <f>IF($U$229="základní",$N$229,0)</f>
        <v>0</v>
      </c>
      <c r="BF229" s="82">
        <f>IF($U$229="snížená",$N$229,0)</f>
        <v>0</v>
      </c>
      <c r="BG229" s="82">
        <f>IF($U$229="zákl. přenesena",$N$229,0)</f>
        <v>0</v>
      </c>
      <c r="BH229" s="82">
        <f>IF($U$229="sníž. přenesena",$N$229,0)</f>
        <v>0</v>
      </c>
      <c r="BI229" s="82">
        <f>IF($U$229="nulová",$N$229,0)</f>
        <v>0</v>
      </c>
      <c r="BJ229" s="6" t="s">
        <v>103</v>
      </c>
    </row>
    <row r="230" spans="2:51" s="117" customFormat="1" ht="37.5" customHeight="1">
      <c r="B230" s="118"/>
      <c r="C230" s="119"/>
      <c r="D230" s="120" t="s">
        <v>134</v>
      </c>
      <c r="E230" s="119"/>
      <c r="F230" s="119"/>
      <c r="G230" s="119"/>
      <c r="H230" s="119"/>
      <c r="I230" s="119"/>
      <c r="J230" s="119"/>
      <c r="K230" s="119"/>
      <c r="L230" s="119"/>
      <c r="M230" s="119"/>
      <c r="N230" s="219">
        <f>$N$231+$N$247+$N$252+$N$256+$N$262+$N$296+$N$316+$N$325+$N$331</f>
        <v>0</v>
      </c>
      <c r="O230" s="220"/>
      <c r="P230" s="220"/>
      <c r="Q230" s="220"/>
      <c r="R230" s="121"/>
      <c r="T230" s="122"/>
      <c r="U230" s="119"/>
      <c r="V230" s="119"/>
      <c r="W230" s="123">
        <f>$W$231+$W$247+$W$252+$W$256+$W$262+$W$296+$W$316+$W$325+$W$331</f>
        <v>860.61567</v>
      </c>
      <c r="X230" s="119"/>
      <c r="Y230" s="123">
        <f>$Y$231+$Y$247+$Y$252+$Y$256+$Y$262+$Y$296+$Y$316+$Y$325+$Y$331</f>
        <v>6.468612910000001</v>
      </c>
      <c r="Z230" s="119"/>
      <c r="AA230" s="124">
        <f>$AA$231+$AA$247+$AA$252+$AA$256+$AA$262+$AA$296+$AA$316+$AA$325+$AA$331</f>
        <v>3.33985</v>
      </c>
      <c r="AR230" s="125" t="s">
        <v>103</v>
      </c>
      <c r="AT230" s="125" t="s">
        <v>72</v>
      </c>
      <c r="AU230" s="125" t="s">
        <v>73</v>
      </c>
      <c r="AY230" s="125" t="s">
        <v>172</v>
      </c>
    </row>
    <row r="231" spans="2:51" s="117" customFormat="1" ht="21" customHeight="1">
      <c r="B231" s="118"/>
      <c r="C231" s="119"/>
      <c r="D231" s="126" t="s">
        <v>135</v>
      </c>
      <c r="E231" s="119"/>
      <c r="F231" s="119"/>
      <c r="G231" s="119"/>
      <c r="H231" s="119"/>
      <c r="I231" s="119"/>
      <c r="J231" s="119"/>
      <c r="K231" s="119"/>
      <c r="L231" s="119"/>
      <c r="M231" s="119"/>
      <c r="N231" s="221">
        <f>SUM($N$232:$N$246)</f>
        <v>0</v>
      </c>
      <c r="O231" s="220"/>
      <c r="P231" s="220"/>
      <c r="Q231" s="220"/>
      <c r="R231" s="121"/>
      <c r="T231" s="122"/>
      <c r="U231" s="119"/>
      <c r="V231" s="119"/>
      <c r="W231" s="123">
        <f>SUM($W$232:$W$246)</f>
        <v>14.0938</v>
      </c>
      <c r="X231" s="119"/>
      <c r="Y231" s="123">
        <f>SUM($Y$232:$Y$246)</f>
        <v>0.138458</v>
      </c>
      <c r="Z231" s="119"/>
      <c r="AA231" s="124">
        <f>SUM($AA$232:$AA$246)</f>
        <v>0</v>
      </c>
      <c r="AR231" s="125" t="s">
        <v>103</v>
      </c>
      <c r="AT231" s="125" t="s">
        <v>72</v>
      </c>
      <c r="AU231" s="125" t="s">
        <v>17</v>
      </c>
      <c r="AY231" s="125" t="s">
        <v>172</v>
      </c>
    </row>
    <row r="232" spans="2:62" s="6" customFormat="1" ht="27" customHeight="1">
      <c r="B232" s="22"/>
      <c r="C232" s="127" t="s">
        <v>430</v>
      </c>
      <c r="D232" s="127" t="s">
        <v>173</v>
      </c>
      <c r="E232" s="128" t="s">
        <v>431</v>
      </c>
      <c r="F232" s="210" t="s">
        <v>432</v>
      </c>
      <c r="G232" s="211"/>
      <c r="H232" s="211"/>
      <c r="I232" s="211"/>
      <c r="J232" s="129" t="s">
        <v>176</v>
      </c>
      <c r="K232" s="130">
        <v>0.6</v>
      </c>
      <c r="L232" s="212">
        <v>0</v>
      </c>
      <c r="M232" s="211"/>
      <c r="N232" s="213">
        <f>ROUND($L$232*$K$232,2)</f>
        <v>0</v>
      </c>
      <c r="O232" s="211"/>
      <c r="P232" s="211"/>
      <c r="Q232" s="211"/>
      <c r="R232" s="24"/>
      <c r="T232" s="131"/>
      <c r="U232" s="30" t="s">
        <v>40</v>
      </c>
      <c r="V232" s="132">
        <v>0.024</v>
      </c>
      <c r="W232" s="132">
        <f>$V$232*$K$232</f>
        <v>0.0144</v>
      </c>
      <c r="X232" s="132">
        <v>0</v>
      </c>
      <c r="Y232" s="132">
        <f>$X$232*$K$232</f>
        <v>0</v>
      </c>
      <c r="Z232" s="132">
        <v>0</v>
      </c>
      <c r="AA232" s="133">
        <f>$Z$232*$K$232</f>
        <v>0</v>
      </c>
      <c r="AR232" s="6" t="s">
        <v>218</v>
      </c>
      <c r="AT232" s="6" t="s">
        <v>173</v>
      </c>
      <c r="AU232" s="6" t="s">
        <v>103</v>
      </c>
      <c r="AY232" s="6" t="s">
        <v>172</v>
      </c>
      <c r="BE232" s="82">
        <f>IF($U$232="základní",$N$232,0)</f>
        <v>0</v>
      </c>
      <c r="BF232" s="82">
        <f>IF($U$232="snížená",$N$232,0)</f>
        <v>0</v>
      </c>
      <c r="BG232" s="82">
        <f>IF($U$232="zákl. přenesena",$N$232,0)</f>
        <v>0</v>
      </c>
      <c r="BH232" s="82">
        <f>IF($U$232="sníž. přenesena",$N$232,0)</f>
        <v>0</v>
      </c>
      <c r="BI232" s="82">
        <f>IF($U$232="nulová",$N$232,0)</f>
        <v>0</v>
      </c>
      <c r="BJ232" s="6" t="s">
        <v>103</v>
      </c>
    </row>
    <row r="233" spans="2:62" s="6" customFormat="1" ht="15.75" customHeight="1">
      <c r="B233" s="22"/>
      <c r="C233" s="134" t="s">
        <v>433</v>
      </c>
      <c r="D233" s="134" t="s">
        <v>201</v>
      </c>
      <c r="E233" s="135" t="s">
        <v>434</v>
      </c>
      <c r="F233" s="214" t="s">
        <v>435</v>
      </c>
      <c r="G233" s="215"/>
      <c r="H233" s="215"/>
      <c r="I233" s="215"/>
      <c r="J233" s="136" t="s">
        <v>197</v>
      </c>
      <c r="K233" s="137">
        <v>0.001</v>
      </c>
      <c r="L233" s="216">
        <v>0</v>
      </c>
      <c r="M233" s="215"/>
      <c r="N233" s="217">
        <f>ROUND($L$233*$K$233,2)</f>
        <v>0</v>
      </c>
      <c r="O233" s="211"/>
      <c r="P233" s="211"/>
      <c r="Q233" s="211"/>
      <c r="R233" s="24"/>
      <c r="T233" s="131"/>
      <c r="U233" s="30" t="s">
        <v>40</v>
      </c>
      <c r="V233" s="132">
        <v>0</v>
      </c>
      <c r="W233" s="132">
        <f>$V$233*$K$233</f>
        <v>0</v>
      </c>
      <c r="X233" s="132">
        <v>1</v>
      </c>
      <c r="Y233" s="132">
        <f>$X$233*$K$233</f>
        <v>0.001</v>
      </c>
      <c r="Z233" s="132">
        <v>0</v>
      </c>
      <c r="AA233" s="133">
        <f>$Z$233*$K$233</f>
        <v>0</v>
      </c>
      <c r="AR233" s="6" t="s">
        <v>267</v>
      </c>
      <c r="AT233" s="6" t="s">
        <v>201</v>
      </c>
      <c r="AU233" s="6" t="s">
        <v>103</v>
      </c>
      <c r="AY233" s="6" t="s">
        <v>172</v>
      </c>
      <c r="BE233" s="82">
        <f>IF($U$233="základní",$N$233,0)</f>
        <v>0</v>
      </c>
      <c r="BF233" s="82">
        <f>IF($U$233="snížená",$N$233,0)</f>
        <v>0</v>
      </c>
      <c r="BG233" s="82">
        <f>IF($U$233="zákl. přenesena",$N$233,0)</f>
        <v>0</v>
      </c>
      <c r="BH233" s="82">
        <f>IF($U$233="sníž. přenesena",$N$233,0)</f>
        <v>0</v>
      </c>
      <c r="BI233" s="82">
        <f>IF($U$233="nulová",$N$233,0)</f>
        <v>0</v>
      </c>
      <c r="BJ233" s="6" t="s">
        <v>103</v>
      </c>
    </row>
    <row r="234" spans="2:62" s="6" customFormat="1" ht="27" customHeight="1">
      <c r="B234" s="22"/>
      <c r="C234" s="127" t="s">
        <v>436</v>
      </c>
      <c r="D234" s="127" t="s">
        <v>173</v>
      </c>
      <c r="E234" s="128" t="s">
        <v>437</v>
      </c>
      <c r="F234" s="210" t="s">
        <v>438</v>
      </c>
      <c r="G234" s="211"/>
      <c r="H234" s="211"/>
      <c r="I234" s="211"/>
      <c r="J234" s="129" t="s">
        <v>176</v>
      </c>
      <c r="K234" s="130">
        <v>15</v>
      </c>
      <c r="L234" s="212">
        <v>0</v>
      </c>
      <c r="M234" s="211"/>
      <c r="N234" s="213">
        <f>ROUND($L$234*$K$234,2)</f>
        <v>0</v>
      </c>
      <c r="O234" s="211"/>
      <c r="P234" s="211"/>
      <c r="Q234" s="211"/>
      <c r="R234" s="24"/>
      <c r="T234" s="131"/>
      <c r="U234" s="30" t="s">
        <v>40</v>
      </c>
      <c r="V234" s="132">
        <v>0.054</v>
      </c>
      <c r="W234" s="132">
        <f>$V$234*$K$234</f>
        <v>0.8099999999999999</v>
      </c>
      <c r="X234" s="132">
        <v>0</v>
      </c>
      <c r="Y234" s="132">
        <f>$X$234*$K$234</f>
        <v>0</v>
      </c>
      <c r="Z234" s="132">
        <v>0</v>
      </c>
      <c r="AA234" s="133">
        <f>$Z$234*$K$234</f>
        <v>0</v>
      </c>
      <c r="AR234" s="6" t="s">
        <v>218</v>
      </c>
      <c r="AT234" s="6" t="s">
        <v>173</v>
      </c>
      <c r="AU234" s="6" t="s">
        <v>103</v>
      </c>
      <c r="AY234" s="6" t="s">
        <v>172</v>
      </c>
      <c r="BE234" s="82">
        <f>IF($U$234="základní",$N$234,0)</f>
        <v>0</v>
      </c>
      <c r="BF234" s="82">
        <f>IF($U$234="snížená",$N$234,0)</f>
        <v>0</v>
      </c>
      <c r="BG234" s="82">
        <f>IF($U$234="zákl. přenesena",$N$234,0)</f>
        <v>0</v>
      </c>
      <c r="BH234" s="82">
        <f>IF($U$234="sníž. přenesena",$N$234,0)</f>
        <v>0</v>
      </c>
      <c r="BI234" s="82">
        <f>IF($U$234="nulová",$N$234,0)</f>
        <v>0</v>
      </c>
      <c r="BJ234" s="6" t="s">
        <v>103</v>
      </c>
    </row>
    <row r="235" spans="2:62" s="6" customFormat="1" ht="15.75" customHeight="1">
      <c r="B235" s="22"/>
      <c r="C235" s="134" t="s">
        <v>439</v>
      </c>
      <c r="D235" s="134" t="s">
        <v>201</v>
      </c>
      <c r="E235" s="135" t="s">
        <v>434</v>
      </c>
      <c r="F235" s="214" t="s">
        <v>435</v>
      </c>
      <c r="G235" s="215"/>
      <c r="H235" s="215"/>
      <c r="I235" s="215"/>
      <c r="J235" s="136" t="s">
        <v>197</v>
      </c>
      <c r="K235" s="137">
        <v>0.005</v>
      </c>
      <c r="L235" s="216">
        <v>0</v>
      </c>
      <c r="M235" s="215"/>
      <c r="N235" s="217">
        <f>ROUND($L$235*$K$235,2)</f>
        <v>0</v>
      </c>
      <c r="O235" s="211"/>
      <c r="P235" s="211"/>
      <c r="Q235" s="211"/>
      <c r="R235" s="24"/>
      <c r="T235" s="131"/>
      <c r="U235" s="30" t="s">
        <v>40</v>
      </c>
      <c r="V235" s="132">
        <v>0</v>
      </c>
      <c r="W235" s="132">
        <f>$V$235*$K$235</f>
        <v>0</v>
      </c>
      <c r="X235" s="132">
        <v>1</v>
      </c>
      <c r="Y235" s="132">
        <f>$X$235*$K$235</f>
        <v>0.005</v>
      </c>
      <c r="Z235" s="132">
        <v>0</v>
      </c>
      <c r="AA235" s="133">
        <f>$Z$235*$K$235</f>
        <v>0</v>
      </c>
      <c r="AR235" s="6" t="s">
        <v>267</v>
      </c>
      <c r="AT235" s="6" t="s">
        <v>201</v>
      </c>
      <c r="AU235" s="6" t="s">
        <v>103</v>
      </c>
      <c r="AY235" s="6" t="s">
        <v>172</v>
      </c>
      <c r="BE235" s="82">
        <f>IF($U$235="základní",$N$235,0)</f>
        <v>0</v>
      </c>
      <c r="BF235" s="82">
        <f>IF($U$235="snížená",$N$235,0)</f>
        <v>0</v>
      </c>
      <c r="BG235" s="82">
        <f>IF($U$235="zákl. přenesena",$N$235,0)</f>
        <v>0</v>
      </c>
      <c r="BH235" s="82">
        <f>IF($U$235="sníž. přenesena",$N$235,0)</f>
        <v>0</v>
      </c>
      <c r="BI235" s="82">
        <f>IF($U$235="nulová",$N$235,0)</f>
        <v>0</v>
      </c>
      <c r="BJ235" s="6" t="s">
        <v>103</v>
      </c>
    </row>
    <row r="236" spans="2:62" s="6" customFormat="1" ht="27" customHeight="1">
      <c r="B236" s="22"/>
      <c r="C236" s="127" t="s">
        <v>440</v>
      </c>
      <c r="D236" s="127" t="s">
        <v>173</v>
      </c>
      <c r="E236" s="128" t="s">
        <v>441</v>
      </c>
      <c r="F236" s="210" t="s">
        <v>442</v>
      </c>
      <c r="G236" s="211"/>
      <c r="H236" s="211"/>
      <c r="I236" s="211"/>
      <c r="J236" s="129" t="s">
        <v>176</v>
      </c>
      <c r="K236" s="130">
        <v>0.6</v>
      </c>
      <c r="L236" s="212">
        <v>0</v>
      </c>
      <c r="M236" s="211"/>
      <c r="N236" s="213">
        <f>ROUND($L$236*$K$236,2)</f>
        <v>0</v>
      </c>
      <c r="O236" s="211"/>
      <c r="P236" s="211"/>
      <c r="Q236" s="211"/>
      <c r="R236" s="24"/>
      <c r="T236" s="131"/>
      <c r="U236" s="30" t="s">
        <v>40</v>
      </c>
      <c r="V236" s="132">
        <v>0.037</v>
      </c>
      <c r="W236" s="132">
        <f>$V$236*$K$236</f>
        <v>0.022199999999999998</v>
      </c>
      <c r="X236" s="132">
        <v>3E-05</v>
      </c>
      <c r="Y236" s="132">
        <f>$X$236*$K$236</f>
        <v>1.8E-05</v>
      </c>
      <c r="Z236" s="132">
        <v>0</v>
      </c>
      <c r="AA236" s="133">
        <f>$Z$236*$K$236</f>
        <v>0</v>
      </c>
      <c r="AR236" s="6" t="s">
        <v>218</v>
      </c>
      <c r="AT236" s="6" t="s">
        <v>173</v>
      </c>
      <c r="AU236" s="6" t="s">
        <v>103</v>
      </c>
      <c r="AY236" s="6" t="s">
        <v>172</v>
      </c>
      <c r="BE236" s="82">
        <f>IF($U$236="základní",$N$236,0)</f>
        <v>0</v>
      </c>
      <c r="BF236" s="82">
        <f>IF($U$236="snížená",$N$236,0)</f>
        <v>0</v>
      </c>
      <c r="BG236" s="82">
        <f>IF($U$236="zákl. přenesena",$N$236,0)</f>
        <v>0</v>
      </c>
      <c r="BH236" s="82">
        <f>IF($U$236="sníž. přenesena",$N$236,0)</f>
        <v>0</v>
      </c>
      <c r="BI236" s="82">
        <f>IF($U$236="nulová",$N$236,0)</f>
        <v>0</v>
      </c>
      <c r="BJ236" s="6" t="s">
        <v>103</v>
      </c>
    </row>
    <row r="237" spans="2:62" s="6" customFormat="1" ht="27" customHeight="1">
      <c r="B237" s="22"/>
      <c r="C237" s="134" t="s">
        <v>443</v>
      </c>
      <c r="D237" s="134" t="s">
        <v>201</v>
      </c>
      <c r="E237" s="135" t="s">
        <v>444</v>
      </c>
      <c r="F237" s="214" t="s">
        <v>445</v>
      </c>
      <c r="G237" s="215"/>
      <c r="H237" s="215"/>
      <c r="I237" s="215"/>
      <c r="J237" s="136" t="s">
        <v>197</v>
      </c>
      <c r="K237" s="137">
        <v>0.001</v>
      </c>
      <c r="L237" s="216">
        <v>0</v>
      </c>
      <c r="M237" s="215"/>
      <c r="N237" s="217">
        <f>ROUND($L$237*$K$237,2)</f>
        <v>0</v>
      </c>
      <c r="O237" s="211"/>
      <c r="P237" s="211"/>
      <c r="Q237" s="211"/>
      <c r="R237" s="24"/>
      <c r="T237" s="131"/>
      <c r="U237" s="30" t="s">
        <v>40</v>
      </c>
      <c r="V237" s="132">
        <v>0</v>
      </c>
      <c r="W237" s="132">
        <f>$V$237*$K$237</f>
        <v>0</v>
      </c>
      <c r="X237" s="132">
        <v>1</v>
      </c>
      <c r="Y237" s="132">
        <f>$X$237*$K$237</f>
        <v>0.001</v>
      </c>
      <c r="Z237" s="132">
        <v>0</v>
      </c>
      <c r="AA237" s="133">
        <f>$Z$237*$K$237</f>
        <v>0</v>
      </c>
      <c r="AR237" s="6" t="s">
        <v>267</v>
      </c>
      <c r="AT237" s="6" t="s">
        <v>201</v>
      </c>
      <c r="AU237" s="6" t="s">
        <v>103</v>
      </c>
      <c r="AY237" s="6" t="s">
        <v>172</v>
      </c>
      <c r="BE237" s="82">
        <f>IF($U$237="základní",$N$237,0)</f>
        <v>0</v>
      </c>
      <c r="BF237" s="82">
        <f>IF($U$237="snížená",$N$237,0)</f>
        <v>0</v>
      </c>
      <c r="BG237" s="82">
        <f>IF($U$237="zákl. přenesena",$N$237,0)</f>
        <v>0</v>
      </c>
      <c r="BH237" s="82">
        <f>IF($U$237="sníž. přenesena",$N$237,0)</f>
        <v>0</v>
      </c>
      <c r="BI237" s="82">
        <f>IF($U$237="nulová",$N$237,0)</f>
        <v>0</v>
      </c>
      <c r="BJ237" s="6" t="s">
        <v>103</v>
      </c>
    </row>
    <row r="238" spans="2:62" s="6" customFormat="1" ht="27" customHeight="1">
      <c r="B238" s="22"/>
      <c r="C238" s="127" t="s">
        <v>446</v>
      </c>
      <c r="D238" s="127" t="s">
        <v>173</v>
      </c>
      <c r="E238" s="128" t="s">
        <v>447</v>
      </c>
      <c r="F238" s="210" t="s">
        <v>448</v>
      </c>
      <c r="G238" s="211"/>
      <c r="H238" s="211"/>
      <c r="I238" s="211"/>
      <c r="J238" s="129" t="s">
        <v>176</v>
      </c>
      <c r="K238" s="130">
        <v>15</v>
      </c>
      <c r="L238" s="212">
        <v>0</v>
      </c>
      <c r="M238" s="211"/>
      <c r="N238" s="213">
        <f>ROUND($L$238*$K$238,2)</f>
        <v>0</v>
      </c>
      <c r="O238" s="211"/>
      <c r="P238" s="211"/>
      <c r="Q238" s="211"/>
      <c r="R238" s="24"/>
      <c r="T238" s="131"/>
      <c r="U238" s="30" t="s">
        <v>40</v>
      </c>
      <c r="V238" s="132">
        <v>0.069</v>
      </c>
      <c r="W238" s="132">
        <f>$V$238*$K$238</f>
        <v>1.0350000000000001</v>
      </c>
      <c r="X238" s="132">
        <v>3E-05</v>
      </c>
      <c r="Y238" s="132">
        <f>$X$238*$K$238</f>
        <v>0.00045</v>
      </c>
      <c r="Z238" s="132">
        <v>0</v>
      </c>
      <c r="AA238" s="133">
        <f>$Z$238*$K$238</f>
        <v>0</v>
      </c>
      <c r="AR238" s="6" t="s">
        <v>218</v>
      </c>
      <c r="AT238" s="6" t="s">
        <v>173</v>
      </c>
      <c r="AU238" s="6" t="s">
        <v>103</v>
      </c>
      <c r="AY238" s="6" t="s">
        <v>172</v>
      </c>
      <c r="BE238" s="82">
        <f>IF($U$238="základní",$N$238,0)</f>
        <v>0</v>
      </c>
      <c r="BF238" s="82">
        <f>IF($U$238="snížená",$N$238,0)</f>
        <v>0</v>
      </c>
      <c r="BG238" s="82">
        <f>IF($U$238="zákl. přenesena",$N$238,0)</f>
        <v>0</v>
      </c>
      <c r="BH238" s="82">
        <f>IF($U$238="sníž. přenesena",$N$238,0)</f>
        <v>0</v>
      </c>
      <c r="BI238" s="82">
        <f>IF($U$238="nulová",$N$238,0)</f>
        <v>0</v>
      </c>
      <c r="BJ238" s="6" t="s">
        <v>103</v>
      </c>
    </row>
    <row r="239" spans="2:62" s="6" customFormat="1" ht="27" customHeight="1">
      <c r="B239" s="22"/>
      <c r="C239" s="134" t="s">
        <v>449</v>
      </c>
      <c r="D239" s="134" t="s">
        <v>201</v>
      </c>
      <c r="E239" s="135" t="s">
        <v>444</v>
      </c>
      <c r="F239" s="214" t="s">
        <v>445</v>
      </c>
      <c r="G239" s="215"/>
      <c r="H239" s="215"/>
      <c r="I239" s="215"/>
      <c r="J239" s="136" t="s">
        <v>197</v>
      </c>
      <c r="K239" s="137">
        <v>0.026</v>
      </c>
      <c r="L239" s="216">
        <v>0</v>
      </c>
      <c r="M239" s="215"/>
      <c r="N239" s="217">
        <f>ROUND($L$239*$K$239,2)</f>
        <v>0</v>
      </c>
      <c r="O239" s="211"/>
      <c r="P239" s="211"/>
      <c r="Q239" s="211"/>
      <c r="R239" s="24"/>
      <c r="T239" s="131"/>
      <c r="U239" s="30" t="s">
        <v>40</v>
      </c>
      <c r="V239" s="132">
        <v>0</v>
      </c>
      <c r="W239" s="132">
        <f>$V$239*$K$239</f>
        <v>0</v>
      </c>
      <c r="X239" s="132">
        <v>1</v>
      </c>
      <c r="Y239" s="132">
        <f>$X$239*$K$239</f>
        <v>0.026</v>
      </c>
      <c r="Z239" s="132">
        <v>0</v>
      </c>
      <c r="AA239" s="133">
        <f>$Z$239*$K$239</f>
        <v>0</v>
      </c>
      <c r="AR239" s="6" t="s">
        <v>267</v>
      </c>
      <c r="AT239" s="6" t="s">
        <v>201</v>
      </c>
      <c r="AU239" s="6" t="s">
        <v>103</v>
      </c>
      <c r="AY239" s="6" t="s">
        <v>172</v>
      </c>
      <c r="BE239" s="82">
        <f>IF($U$239="základní",$N$239,0)</f>
        <v>0</v>
      </c>
      <c r="BF239" s="82">
        <f>IF($U$239="snížená",$N$239,0)</f>
        <v>0</v>
      </c>
      <c r="BG239" s="82">
        <f>IF($U$239="zákl. přenesena",$N$239,0)</f>
        <v>0</v>
      </c>
      <c r="BH239" s="82">
        <f>IF($U$239="sníž. přenesena",$N$239,0)</f>
        <v>0</v>
      </c>
      <c r="BI239" s="82">
        <f>IF($U$239="nulová",$N$239,0)</f>
        <v>0</v>
      </c>
      <c r="BJ239" s="6" t="s">
        <v>103</v>
      </c>
    </row>
    <row r="240" spans="2:62" s="6" customFormat="1" ht="27" customHeight="1">
      <c r="B240" s="22"/>
      <c r="C240" s="127" t="s">
        <v>450</v>
      </c>
      <c r="D240" s="127" t="s">
        <v>173</v>
      </c>
      <c r="E240" s="128" t="s">
        <v>451</v>
      </c>
      <c r="F240" s="210" t="s">
        <v>452</v>
      </c>
      <c r="G240" s="211"/>
      <c r="H240" s="211"/>
      <c r="I240" s="211"/>
      <c r="J240" s="129" t="s">
        <v>176</v>
      </c>
      <c r="K240" s="130">
        <v>0.6</v>
      </c>
      <c r="L240" s="212">
        <v>0</v>
      </c>
      <c r="M240" s="211"/>
      <c r="N240" s="213">
        <f>ROUND($L$240*$K$240,2)</f>
        <v>0</v>
      </c>
      <c r="O240" s="211"/>
      <c r="P240" s="211"/>
      <c r="Q240" s="211"/>
      <c r="R240" s="24"/>
      <c r="T240" s="131"/>
      <c r="U240" s="30" t="s">
        <v>40</v>
      </c>
      <c r="V240" s="132">
        <v>0.222</v>
      </c>
      <c r="W240" s="132">
        <f>$V$240*$K$240</f>
        <v>0.13319999999999999</v>
      </c>
      <c r="X240" s="132">
        <v>0.0004</v>
      </c>
      <c r="Y240" s="132">
        <f>$X$240*$K$240</f>
        <v>0.00024</v>
      </c>
      <c r="Z240" s="132">
        <v>0</v>
      </c>
      <c r="AA240" s="133">
        <f>$Z$240*$K$240</f>
        <v>0</v>
      </c>
      <c r="AR240" s="6" t="s">
        <v>218</v>
      </c>
      <c r="AT240" s="6" t="s">
        <v>173</v>
      </c>
      <c r="AU240" s="6" t="s">
        <v>103</v>
      </c>
      <c r="AY240" s="6" t="s">
        <v>172</v>
      </c>
      <c r="BE240" s="82">
        <f>IF($U$240="základní",$N$240,0)</f>
        <v>0</v>
      </c>
      <c r="BF240" s="82">
        <f>IF($U$240="snížená",$N$240,0)</f>
        <v>0</v>
      </c>
      <c r="BG240" s="82">
        <f>IF($U$240="zákl. přenesena",$N$240,0)</f>
        <v>0</v>
      </c>
      <c r="BH240" s="82">
        <f>IF($U$240="sníž. přenesena",$N$240,0)</f>
        <v>0</v>
      </c>
      <c r="BI240" s="82">
        <f>IF($U$240="nulová",$N$240,0)</f>
        <v>0</v>
      </c>
      <c r="BJ240" s="6" t="s">
        <v>103</v>
      </c>
    </row>
    <row r="241" spans="2:62" s="6" customFormat="1" ht="27" customHeight="1">
      <c r="B241" s="22"/>
      <c r="C241" s="134" t="s">
        <v>453</v>
      </c>
      <c r="D241" s="134" t="s">
        <v>201</v>
      </c>
      <c r="E241" s="135" t="s">
        <v>454</v>
      </c>
      <c r="F241" s="214" t="s">
        <v>455</v>
      </c>
      <c r="G241" s="215"/>
      <c r="H241" s="215"/>
      <c r="I241" s="215"/>
      <c r="J241" s="136" t="s">
        <v>176</v>
      </c>
      <c r="K241" s="137">
        <v>0.72</v>
      </c>
      <c r="L241" s="216">
        <v>0</v>
      </c>
      <c r="M241" s="215"/>
      <c r="N241" s="217">
        <f>ROUND($L$241*$K$241,2)</f>
        <v>0</v>
      </c>
      <c r="O241" s="211"/>
      <c r="P241" s="211"/>
      <c r="Q241" s="211"/>
      <c r="R241" s="24"/>
      <c r="T241" s="131"/>
      <c r="U241" s="30" t="s">
        <v>40</v>
      </c>
      <c r="V241" s="132">
        <v>0</v>
      </c>
      <c r="W241" s="132">
        <f>$V$241*$K$241</f>
        <v>0</v>
      </c>
      <c r="X241" s="132">
        <v>0.0035</v>
      </c>
      <c r="Y241" s="132">
        <f>$X$241*$K$241</f>
        <v>0.00252</v>
      </c>
      <c r="Z241" s="132">
        <v>0</v>
      </c>
      <c r="AA241" s="133">
        <f>$Z$241*$K$241</f>
        <v>0</v>
      </c>
      <c r="AR241" s="6" t="s">
        <v>267</v>
      </c>
      <c r="AT241" s="6" t="s">
        <v>201</v>
      </c>
      <c r="AU241" s="6" t="s">
        <v>103</v>
      </c>
      <c r="AY241" s="6" t="s">
        <v>172</v>
      </c>
      <c r="BE241" s="82">
        <f>IF($U$241="základní",$N$241,0)</f>
        <v>0</v>
      </c>
      <c r="BF241" s="82">
        <f>IF($U$241="snížená",$N$241,0)</f>
        <v>0</v>
      </c>
      <c r="BG241" s="82">
        <f>IF($U$241="zákl. přenesena",$N$241,0)</f>
        <v>0</v>
      </c>
      <c r="BH241" s="82">
        <f>IF($U$241="sníž. přenesena",$N$241,0)</f>
        <v>0</v>
      </c>
      <c r="BI241" s="82">
        <f>IF($U$241="nulová",$N$241,0)</f>
        <v>0</v>
      </c>
      <c r="BJ241" s="6" t="s">
        <v>103</v>
      </c>
    </row>
    <row r="242" spans="2:62" s="6" customFormat="1" ht="27" customHeight="1">
      <c r="B242" s="22"/>
      <c r="C242" s="127" t="s">
        <v>456</v>
      </c>
      <c r="D242" s="127" t="s">
        <v>173</v>
      </c>
      <c r="E242" s="128" t="s">
        <v>457</v>
      </c>
      <c r="F242" s="210" t="s">
        <v>458</v>
      </c>
      <c r="G242" s="211"/>
      <c r="H242" s="211"/>
      <c r="I242" s="211"/>
      <c r="J242" s="129" t="s">
        <v>176</v>
      </c>
      <c r="K242" s="130">
        <v>52</v>
      </c>
      <c r="L242" s="212">
        <v>0</v>
      </c>
      <c r="M242" s="211"/>
      <c r="N242" s="213">
        <f>ROUND($L$242*$K$242,2)</f>
        <v>0</v>
      </c>
      <c r="O242" s="211"/>
      <c r="P242" s="211"/>
      <c r="Q242" s="211"/>
      <c r="R242" s="24"/>
      <c r="T242" s="131"/>
      <c r="U242" s="30" t="s">
        <v>40</v>
      </c>
      <c r="V242" s="132">
        <v>0.097</v>
      </c>
      <c r="W242" s="132">
        <f>$V$242*$K$242</f>
        <v>5.0440000000000005</v>
      </c>
      <c r="X242" s="132">
        <v>0.00059</v>
      </c>
      <c r="Y242" s="132">
        <f>$X$242*$K$242</f>
        <v>0.030680000000000002</v>
      </c>
      <c r="Z242" s="132">
        <v>0</v>
      </c>
      <c r="AA242" s="133">
        <f>$Z$242*$K$242</f>
        <v>0</v>
      </c>
      <c r="AR242" s="6" t="s">
        <v>218</v>
      </c>
      <c r="AT242" s="6" t="s">
        <v>173</v>
      </c>
      <c r="AU242" s="6" t="s">
        <v>103</v>
      </c>
      <c r="AY242" s="6" t="s">
        <v>172</v>
      </c>
      <c r="BE242" s="82">
        <f>IF($U$242="základní",$N$242,0)</f>
        <v>0</v>
      </c>
      <c r="BF242" s="82">
        <f>IF($U$242="snížená",$N$242,0)</f>
        <v>0</v>
      </c>
      <c r="BG242" s="82">
        <f>IF($U$242="zákl. přenesena",$N$242,0)</f>
        <v>0</v>
      </c>
      <c r="BH242" s="82">
        <f>IF($U$242="sníž. přenesena",$N$242,0)</f>
        <v>0</v>
      </c>
      <c r="BI242" s="82">
        <f>IF($U$242="nulová",$N$242,0)</f>
        <v>0</v>
      </c>
      <c r="BJ242" s="6" t="s">
        <v>103</v>
      </c>
    </row>
    <row r="243" spans="2:62" s="6" customFormat="1" ht="27" customHeight="1">
      <c r="B243" s="22"/>
      <c r="C243" s="127" t="s">
        <v>459</v>
      </c>
      <c r="D243" s="127" t="s">
        <v>173</v>
      </c>
      <c r="E243" s="128" t="s">
        <v>460</v>
      </c>
      <c r="F243" s="210" t="s">
        <v>461</v>
      </c>
      <c r="G243" s="211"/>
      <c r="H243" s="211"/>
      <c r="I243" s="211"/>
      <c r="J243" s="129" t="s">
        <v>176</v>
      </c>
      <c r="K243" s="130">
        <v>15</v>
      </c>
      <c r="L243" s="212">
        <v>0</v>
      </c>
      <c r="M243" s="211"/>
      <c r="N243" s="213">
        <f>ROUND($L$243*$K$243,2)</f>
        <v>0</v>
      </c>
      <c r="O243" s="211"/>
      <c r="P243" s="211"/>
      <c r="Q243" s="211"/>
      <c r="R243" s="24"/>
      <c r="T243" s="131"/>
      <c r="U243" s="30" t="s">
        <v>40</v>
      </c>
      <c r="V243" s="132">
        <v>0.26</v>
      </c>
      <c r="W243" s="132">
        <f>$V$243*$K$243</f>
        <v>3.9000000000000004</v>
      </c>
      <c r="X243" s="132">
        <v>0.00057</v>
      </c>
      <c r="Y243" s="132">
        <f>$X$243*$K$243</f>
        <v>0.00855</v>
      </c>
      <c r="Z243" s="132">
        <v>0</v>
      </c>
      <c r="AA243" s="133">
        <f>$Z$243*$K$243</f>
        <v>0</v>
      </c>
      <c r="AR243" s="6" t="s">
        <v>218</v>
      </c>
      <c r="AT243" s="6" t="s">
        <v>173</v>
      </c>
      <c r="AU243" s="6" t="s">
        <v>103</v>
      </c>
      <c r="AY243" s="6" t="s">
        <v>172</v>
      </c>
      <c r="BE243" s="82">
        <f>IF($U$243="základní",$N$243,0)</f>
        <v>0</v>
      </c>
      <c r="BF243" s="82">
        <f>IF($U$243="snížená",$N$243,0)</f>
        <v>0</v>
      </c>
      <c r="BG243" s="82">
        <f>IF($U$243="zákl. přenesena",$N$243,0)</f>
        <v>0</v>
      </c>
      <c r="BH243" s="82">
        <f>IF($U$243="sníž. přenesena",$N$243,0)</f>
        <v>0</v>
      </c>
      <c r="BI243" s="82">
        <f>IF($U$243="nulová",$N$243,0)</f>
        <v>0</v>
      </c>
      <c r="BJ243" s="6" t="s">
        <v>103</v>
      </c>
    </row>
    <row r="244" spans="2:62" s="6" customFormat="1" ht="27" customHeight="1">
      <c r="B244" s="22"/>
      <c r="C244" s="134" t="s">
        <v>23</v>
      </c>
      <c r="D244" s="134" t="s">
        <v>201</v>
      </c>
      <c r="E244" s="135" t="s">
        <v>454</v>
      </c>
      <c r="F244" s="214" t="s">
        <v>455</v>
      </c>
      <c r="G244" s="215"/>
      <c r="H244" s="215"/>
      <c r="I244" s="215"/>
      <c r="J244" s="136" t="s">
        <v>176</v>
      </c>
      <c r="K244" s="137">
        <v>18</v>
      </c>
      <c r="L244" s="216">
        <v>0</v>
      </c>
      <c r="M244" s="215"/>
      <c r="N244" s="217">
        <f>ROUND($L$244*$K$244,2)</f>
        <v>0</v>
      </c>
      <c r="O244" s="211"/>
      <c r="P244" s="211"/>
      <c r="Q244" s="211"/>
      <c r="R244" s="24"/>
      <c r="T244" s="131"/>
      <c r="U244" s="30" t="s">
        <v>40</v>
      </c>
      <c r="V244" s="132">
        <v>0</v>
      </c>
      <c r="W244" s="132">
        <f>$V$244*$K$244</f>
        <v>0</v>
      </c>
      <c r="X244" s="132">
        <v>0.0035</v>
      </c>
      <c r="Y244" s="132">
        <f>$X$244*$K$244</f>
        <v>0.063</v>
      </c>
      <c r="Z244" s="132">
        <v>0</v>
      </c>
      <c r="AA244" s="133">
        <f>$Z$244*$K$244</f>
        <v>0</v>
      </c>
      <c r="AR244" s="6" t="s">
        <v>267</v>
      </c>
      <c r="AT244" s="6" t="s">
        <v>201</v>
      </c>
      <c r="AU244" s="6" t="s">
        <v>103</v>
      </c>
      <c r="AY244" s="6" t="s">
        <v>172</v>
      </c>
      <c r="BE244" s="82">
        <f>IF($U$244="základní",$N$244,0)</f>
        <v>0</v>
      </c>
      <c r="BF244" s="82">
        <f>IF($U$244="snížená",$N$244,0)</f>
        <v>0</v>
      </c>
      <c r="BG244" s="82">
        <f>IF($U$244="zákl. přenesena",$N$244,0)</f>
        <v>0</v>
      </c>
      <c r="BH244" s="82">
        <f>IF($U$244="sníž. přenesena",$N$244,0)</f>
        <v>0</v>
      </c>
      <c r="BI244" s="82">
        <f>IF($U$244="nulová",$N$244,0)</f>
        <v>0</v>
      </c>
      <c r="BJ244" s="6" t="s">
        <v>103</v>
      </c>
    </row>
    <row r="245" spans="2:62" s="6" customFormat="1" ht="27" customHeight="1">
      <c r="B245" s="22"/>
      <c r="C245" s="127" t="s">
        <v>462</v>
      </c>
      <c r="D245" s="127" t="s">
        <v>173</v>
      </c>
      <c r="E245" s="128" t="s">
        <v>463</v>
      </c>
      <c r="F245" s="210" t="s">
        <v>464</v>
      </c>
      <c r="G245" s="211"/>
      <c r="H245" s="211"/>
      <c r="I245" s="211"/>
      <c r="J245" s="129" t="s">
        <v>247</v>
      </c>
      <c r="K245" s="130">
        <v>62.7</v>
      </c>
      <c r="L245" s="212">
        <v>0</v>
      </c>
      <c r="M245" s="211"/>
      <c r="N245" s="213">
        <f>ROUND($L$245*$K$245,2)</f>
        <v>0</v>
      </c>
      <c r="O245" s="211"/>
      <c r="P245" s="211"/>
      <c r="Q245" s="211"/>
      <c r="R245" s="24"/>
      <c r="T245" s="131"/>
      <c r="U245" s="30" t="s">
        <v>40</v>
      </c>
      <c r="V245" s="132">
        <v>0.05</v>
      </c>
      <c r="W245" s="132">
        <f>$V$245*$K$245</f>
        <v>3.1350000000000002</v>
      </c>
      <c r="X245" s="132">
        <v>0</v>
      </c>
      <c r="Y245" s="132">
        <f>$X$245*$K$245</f>
        <v>0</v>
      </c>
      <c r="Z245" s="132">
        <v>0</v>
      </c>
      <c r="AA245" s="133">
        <f>$Z$245*$K$245</f>
        <v>0</v>
      </c>
      <c r="AR245" s="6" t="s">
        <v>218</v>
      </c>
      <c r="AT245" s="6" t="s">
        <v>173</v>
      </c>
      <c r="AU245" s="6" t="s">
        <v>103</v>
      </c>
      <c r="AY245" s="6" t="s">
        <v>172</v>
      </c>
      <c r="BE245" s="82">
        <f>IF($U$245="základní",$N$245,0)</f>
        <v>0</v>
      </c>
      <c r="BF245" s="82">
        <f>IF($U$245="snížená",$N$245,0)</f>
        <v>0</v>
      </c>
      <c r="BG245" s="82">
        <f>IF($U$245="zákl. přenesena",$N$245,0)</f>
        <v>0</v>
      </c>
      <c r="BH245" s="82">
        <f>IF($U$245="sníž. přenesena",$N$245,0)</f>
        <v>0</v>
      </c>
      <c r="BI245" s="82">
        <f>IF($U$245="nulová",$N$245,0)</f>
        <v>0</v>
      </c>
      <c r="BJ245" s="6" t="s">
        <v>103</v>
      </c>
    </row>
    <row r="246" spans="2:62" s="6" customFormat="1" ht="27" customHeight="1">
      <c r="B246" s="22"/>
      <c r="C246" s="127" t="s">
        <v>465</v>
      </c>
      <c r="D246" s="127" t="s">
        <v>173</v>
      </c>
      <c r="E246" s="128" t="s">
        <v>466</v>
      </c>
      <c r="F246" s="210" t="s">
        <v>467</v>
      </c>
      <c r="G246" s="211"/>
      <c r="H246" s="211"/>
      <c r="I246" s="211"/>
      <c r="J246" s="129" t="s">
        <v>468</v>
      </c>
      <c r="K246" s="138">
        <v>0</v>
      </c>
      <c r="L246" s="212">
        <v>0</v>
      </c>
      <c r="M246" s="211"/>
      <c r="N246" s="213">
        <f>ROUND($L$246*$K$246,2)</f>
        <v>0</v>
      </c>
      <c r="O246" s="211"/>
      <c r="P246" s="211"/>
      <c r="Q246" s="211"/>
      <c r="R246" s="24"/>
      <c r="T246" s="131"/>
      <c r="U246" s="30" t="s">
        <v>40</v>
      </c>
      <c r="V246" s="132">
        <v>0</v>
      </c>
      <c r="W246" s="132">
        <f>$V$246*$K$246</f>
        <v>0</v>
      </c>
      <c r="X246" s="132">
        <v>0</v>
      </c>
      <c r="Y246" s="132">
        <f>$X$246*$K$246</f>
        <v>0</v>
      </c>
      <c r="Z246" s="132">
        <v>0</v>
      </c>
      <c r="AA246" s="133">
        <f>$Z$246*$K$246</f>
        <v>0</v>
      </c>
      <c r="AR246" s="6" t="s">
        <v>218</v>
      </c>
      <c r="AT246" s="6" t="s">
        <v>173</v>
      </c>
      <c r="AU246" s="6" t="s">
        <v>103</v>
      </c>
      <c r="AY246" s="6" t="s">
        <v>172</v>
      </c>
      <c r="BE246" s="82">
        <f>IF($U$246="základní",$N$246,0)</f>
        <v>0</v>
      </c>
      <c r="BF246" s="82">
        <f>IF($U$246="snížená",$N$246,0)</f>
        <v>0</v>
      </c>
      <c r="BG246" s="82">
        <f>IF($U$246="zákl. přenesena",$N$246,0)</f>
        <v>0</v>
      </c>
      <c r="BH246" s="82">
        <f>IF($U$246="sníž. přenesena",$N$246,0)</f>
        <v>0</v>
      </c>
      <c r="BI246" s="82">
        <f>IF($U$246="nulová",$N$246,0)</f>
        <v>0</v>
      </c>
      <c r="BJ246" s="6" t="s">
        <v>103</v>
      </c>
    </row>
    <row r="247" spans="2:51" s="117" customFormat="1" ht="30.75" customHeight="1">
      <c r="B247" s="118"/>
      <c r="C247" s="119"/>
      <c r="D247" s="126" t="s">
        <v>136</v>
      </c>
      <c r="E247" s="119"/>
      <c r="F247" s="119"/>
      <c r="G247" s="119"/>
      <c r="H247" s="119"/>
      <c r="I247" s="119"/>
      <c r="J247" s="119"/>
      <c r="K247" s="119"/>
      <c r="L247" s="119"/>
      <c r="M247" s="119"/>
      <c r="N247" s="221">
        <f>SUM($N$248:$N$251)</f>
        <v>0</v>
      </c>
      <c r="O247" s="220"/>
      <c r="P247" s="220"/>
      <c r="Q247" s="220"/>
      <c r="R247" s="121"/>
      <c r="T247" s="122"/>
      <c r="U247" s="119"/>
      <c r="V247" s="119"/>
      <c r="W247" s="123">
        <f>SUM($W$248:$W$251)</f>
        <v>54.6</v>
      </c>
      <c r="X247" s="119"/>
      <c r="Y247" s="123">
        <f>SUM($Y$248:$Y$251)</f>
        <v>0.31374</v>
      </c>
      <c r="Z247" s="119"/>
      <c r="AA247" s="124">
        <f>SUM($AA$248:$AA$251)</f>
        <v>0</v>
      </c>
      <c r="AR247" s="125" t="s">
        <v>103</v>
      </c>
      <c r="AT247" s="125" t="s">
        <v>72</v>
      </c>
      <c r="AU247" s="125" t="s">
        <v>17</v>
      </c>
      <c r="AY247" s="125" t="s">
        <v>172</v>
      </c>
    </row>
    <row r="248" spans="2:62" s="6" customFormat="1" ht="27" customHeight="1">
      <c r="B248" s="22"/>
      <c r="C248" s="127" t="s">
        <v>469</v>
      </c>
      <c r="D248" s="127" t="s">
        <v>173</v>
      </c>
      <c r="E248" s="128" t="s">
        <v>470</v>
      </c>
      <c r="F248" s="210" t="s">
        <v>471</v>
      </c>
      <c r="G248" s="211"/>
      <c r="H248" s="211"/>
      <c r="I248" s="211"/>
      <c r="J248" s="129" t="s">
        <v>176</v>
      </c>
      <c r="K248" s="130">
        <v>420</v>
      </c>
      <c r="L248" s="212">
        <v>0</v>
      </c>
      <c r="M248" s="211"/>
      <c r="N248" s="213">
        <f>ROUND($L$248*$K$248,2)</f>
        <v>0</v>
      </c>
      <c r="O248" s="211"/>
      <c r="P248" s="211"/>
      <c r="Q248" s="211"/>
      <c r="R248" s="24"/>
      <c r="T248" s="131"/>
      <c r="U248" s="30" t="s">
        <v>40</v>
      </c>
      <c r="V248" s="132">
        <v>0.13</v>
      </c>
      <c r="W248" s="132">
        <f>$V$248*$K$248</f>
        <v>54.6</v>
      </c>
      <c r="X248" s="132">
        <v>0</v>
      </c>
      <c r="Y248" s="132">
        <f>$X$248*$K$248</f>
        <v>0</v>
      </c>
      <c r="Z248" s="132">
        <v>0</v>
      </c>
      <c r="AA248" s="133">
        <f>$Z$248*$K$248</f>
        <v>0</v>
      </c>
      <c r="AR248" s="6" t="s">
        <v>218</v>
      </c>
      <c r="AT248" s="6" t="s">
        <v>173</v>
      </c>
      <c r="AU248" s="6" t="s">
        <v>103</v>
      </c>
      <c r="AY248" s="6" t="s">
        <v>172</v>
      </c>
      <c r="BE248" s="82">
        <f>IF($U$248="základní",$N$248,0)</f>
        <v>0</v>
      </c>
      <c r="BF248" s="82">
        <f>IF($U$248="snížená",$N$248,0)</f>
        <v>0</v>
      </c>
      <c r="BG248" s="82">
        <f>IF($U$248="zákl. přenesena",$N$248,0)</f>
        <v>0</v>
      </c>
      <c r="BH248" s="82">
        <f>IF($U$248="sníž. přenesena",$N$248,0)</f>
        <v>0</v>
      </c>
      <c r="BI248" s="82">
        <f>IF($U$248="nulová",$N$248,0)</f>
        <v>0</v>
      </c>
      <c r="BJ248" s="6" t="s">
        <v>103</v>
      </c>
    </row>
    <row r="249" spans="2:62" s="6" customFormat="1" ht="27" customHeight="1">
      <c r="B249" s="22"/>
      <c r="C249" s="134" t="s">
        <v>472</v>
      </c>
      <c r="D249" s="134" t="s">
        <v>201</v>
      </c>
      <c r="E249" s="135" t="s">
        <v>473</v>
      </c>
      <c r="F249" s="214" t="s">
        <v>474</v>
      </c>
      <c r="G249" s="215"/>
      <c r="H249" s="215"/>
      <c r="I249" s="215"/>
      <c r="J249" s="136" t="s">
        <v>475</v>
      </c>
      <c r="K249" s="137">
        <v>4.62</v>
      </c>
      <c r="L249" s="216">
        <v>0</v>
      </c>
      <c r="M249" s="215"/>
      <c r="N249" s="217">
        <f>ROUND($L$249*$K$249,2)</f>
        <v>0</v>
      </c>
      <c r="O249" s="211"/>
      <c r="P249" s="211"/>
      <c r="Q249" s="211"/>
      <c r="R249" s="24"/>
      <c r="T249" s="131"/>
      <c r="U249" s="30" t="s">
        <v>40</v>
      </c>
      <c r="V249" s="132">
        <v>0</v>
      </c>
      <c r="W249" s="132">
        <f>$V$249*$K$249</f>
        <v>0</v>
      </c>
      <c r="X249" s="132">
        <v>0.001</v>
      </c>
      <c r="Y249" s="132">
        <f>$X$249*$K$249</f>
        <v>0.00462</v>
      </c>
      <c r="Z249" s="132">
        <v>0</v>
      </c>
      <c r="AA249" s="133">
        <f>$Z$249*$K$249</f>
        <v>0</v>
      </c>
      <c r="AR249" s="6" t="s">
        <v>267</v>
      </c>
      <c r="AT249" s="6" t="s">
        <v>201</v>
      </c>
      <c r="AU249" s="6" t="s">
        <v>103</v>
      </c>
      <c r="AY249" s="6" t="s">
        <v>172</v>
      </c>
      <c r="BE249" s="82">
        <f>IF($U$249="základní",$N$249,0)</f>
        <v>0</v>
      </c>
      <c r="BF249" s="82">
        <f>IF($U$249="snížená",$N$249,0)</f>
        <v>0</v>
      </c>
      <c r="BG249" s="82">
        <f>IF($U$249="zákl. přenesena",$N$249,0)</f>
        <v>0</v>
      </c>
      <c r="BH249" s="82">
        <f>IF($U$249="sníž. přenesena",$N$249,0)</f>
        <v>0</v>
      </c>
      <c r="BI249" s="82">
        <f>IF($U$249="nulová",$N$249,0)</f>
        <v>0</v>
      </c>
      <c r="BJ249" s="6" t="s">
        <v>103</v>
      </c>
    </row>
    <row r="250" spans="2:62" s="6" customFormat="1" ht="15.75" customHeight="1">
      <c r="B250" s="22"/>
      <c r="C250" s="134" t="s">
        <v>476</v>
      </c>
      <c r="D250" s="134" t="s">
        <v>201</v>
      </c>
      <c r="E250" s="135" t="s">
        <v>477</v>
      </c>
      <c r="F250" s="214" t="s">
        <v>478</v>
      </c>
      <c r="G250" s="215"/>
      <c r="H250" s="215"/>
      <c r="I250" s="215"/>
      <c r="J250" s="136" t="s">
        <v>176</v>
      </c>
      <c r="K250" s="137">
        <v>483</v>
      </c>
      <c r="L250" s="216">
        <v>0</v>
      </c>
      <c r="M250" s="215"/>
      <c r="N250" s="217">
        <f>ROUND($L$250*$K$250,2)</f>
        <v>0</v>
      </c>
      <c r="O250" s="211"/>
      <c r="P250" s="211"/>
      <c r="Q250" s="211"/>
      <c r="R250" s="24"/>
      <c r="T250" s="131"/>
      <c r="U250" s="30" t="s">
        <v>40</v>
      </c>
      <c r="V250" s="132">
        <v>0</v>
      </c>
      <c r="W250" s="132">
        <f>$V$250*$K$250</f>
        <v>0</v>
      </c>
      <c r="X250" s="132">
        <v>0.00064</v>
      </c>
      <c r="Y250" s="132">
        <f>$X$250*$K$250</f>
        <v>0.30912</v>
      </c>
      <c r="Z250" s="132">
        <v>0</v>
      </c>
      <c r="AA250" s="133">
        <f>$Z$250*$K$250</f>
        <v>0</v>
      </c>
      <c r="AR250" s="6" t="s">
        <v>267</v>
      </c>
      <c r="AT250" s="6" t="s">
        <v>201</v>
      </c>
      <c r="AU250" s="6" t="s">
        <v>103</v>
      </c>
      <c r="AY250" s="6" t="s">
        <v>172</v>
      </c>
      <c r="BE250" s="82">
        <f>IF($U$250="základní",$N$250,0)</f>
        <v>0</v>
      </c>
      <c r="BF250" s="82">
        <f>IF($U$250="snížená",$N$250,0)</f>
        <v>0</v>
      </c>
      <c r="BG250" s="82">
        <f>IF($U$250="zákl. přenesena",$N$250,0)</f>
        <v>0</v>
      </c>
      <c r="BH250" s="82">
        <f>IF($U$250="sníž. přenesena",$N$250,0)</f>
        <v>0</v>
      </c>
      <c r="BI250" s="82">
        <f>IF($U$250="nulová",$N$250,0)</f>
        <v>0</v>
      </c>
      <c r="BJ250" s="6" t="s">
        <v>103</v>
      </c>
    </row>
    <row r="251" spans="2:62" s="6" customFormat="1" ht="27" customHeight="1">
      <c r="B251" s="22"/>
      <c r="C251" s="127" t="s">
        <v>479</v>
      </c>
      <c r="D251" s="127" t="s">
        <v>173</v>
      </c>
      <c r="E251" s="128" t="s">
        <v>480</v>
      </c>
      <c r="F251" s="210" t="s">
        <v>481</v>
      </c>
      <c r="G251" s="211"/>
      <c r="H251" s="211"/>
      <c r="I251" s="211"/>
      <c r="J251" s="129" t="s">
        <v>468</v>
      </c>
      <c r="K251" s="138">
        <v>0</v>
      </c>
      <c r="L251" s="212">
        <v>0</v>
      </c>
      <c r="M251" s="211"/>
      <c r="N251" s="213">
        <f>ROUND($L$251*$K$251,2)</f>
        <v>0</v>
      </c>
      <c r="O251" s="211"/>
      <c r="P251" s="211"/>
      <c r="Q251" s="211"/>
      <c r="R251" s="24"/>
      <c r="T251" s="131"/>
      <c r="U251" s="30" t="s">
        <v>40</v>
      </c>
      <c r="V251" s="132">
        <v>0</v>
      </c>
      <c r="W251" s="132">
        <f>$V$251*$K$251</f>
        <v>0</v>
      </c>
      <c r="X251" s="132">
        <v>0</v>
      </c>
      <c r="Y251" s="132">
        <f>$X$251*$K$251</f>
        <v>0</v>
      </c>
      <c r="Z251" s="132">
        <v>0</v>
      </c>
      <c r="AA251" s="133">
        <f>$Z$251*$K$251</f>
        <v>0</v>
      </c>
      <c r="AR251" s="6" t="s">
        <v>218</v>
      </c>
      <c r="AT251" s="6" t="s">
        <v>173</v>
      </c>
      <c r="AU251" s="6" t="s">
        <v>103</v>
      </c>
      <c r="AY251" s="6" t="s">
        <v>172</v>
      </c>
      <c r="BE251" s="82">
        <f>IF($U$251="základní",$N$251,0)</f>
        <v>0</v>
      </c>
      <c r="BF251" s="82">
        <f>IF($U$251="snížená",$N$251,0)</f>
        <v>0</v>
      </c>
      <c r="BG251" s="82">
        <f>IF($U$251="zákl. přenesena",$N$251,0)</f>
        <v>0</v>
      </c>
      <c r="BH251" s="82">
        <f>IF($U$251="sníž. přenesena",$N$251,0)</f>
        <v>0</v>
      </c>
      <c r="BI251" s="82">
        <f>IF($U$251="nulová",$N$251,0)</f>
        <v>0</v>
      </c>
      <c r="BJ251" s="6" t="s">
        <v>103</v>
      </c>
    </row>
    <row r="252" spans="2:51" s="117" customFormat="1" ht="30.75" customHeight="1">
      <c r="B252" s="118"/>
      <c r="C252" s="119"/>
      <c r="D252" s="126" t="s">
        <v>137</v>
      </c>
      <c r="E252" s="119"/>
      <c r="F252" s="119"/>
      <c r="G252" s="119"/>
      <c r="H252" s="119"/>
      <c r="I252" s="119"/>
      <c r="J252" s="119"/>
      <c r="K252" s="119"/>
      <c r="L252" s="119"/>
      <c r="M252" s="119"/>
      <c r="N252" s="221">
        <f>SUM($N$253:$N$255)</f>
        <v>0</v>
      </c>
      <c r="O252" s="220"/>
      <c r="P252" s="220"/>
      <c r="Q252" s="220"/>
      <c r="R252" s="121"/>
      <c r="T252" s="122"/>
      <c r="U252" s="119"/>
      <c r="V252" s="119"/>
      <c r="W252" s="123">
        <f>SUM($W$253:$W$255)</f>
        <v>3.5860000000000003</v>
      </c>
      <c r="X252" s="119"/>
      <c r="Y252" s="123">
        <f>SUM($Y$253:$Y$255)</f>
        <v>0</v>
      </c>
      <c r="Z252" s="119"/>
      <c r="AA252" s="124">
        <f>SUM($AA$253:$AA$255)</f>
        <v>0</v>
      </c>
      <c r="AR252" s="125" t="s">
        <v>103</v>
      </c>
      <c r="AT252" s="125" t="s">
        <v>72</v>
      </c>
      <c r="AU252" s="125" t="s">
        <v>17</v>
      </c>
      <c r="AY252" s="125" t="s">
        <v>172</v>
      </c>
    </row>
    <row r="253" spans="2:62" s="6" customFormat="1" ht="15.75" customHeight="1">
      <c r="B253" s="22"/>
      <c r="C253" s="127" t="s">
        <v>482</v>
      </c>
      <c r="D253" s="127" t="s">
        <v>173</v>
      </c>
      <c r="E253" s="128" t="s">
        <v>483</v>
      </c>
      <c r="F253" s="210" t="s">
        <v>484</v>
      </c>
      <c r="G253" s="211"/>
      <c r="H253" s="211"/>
      <c r="I253" s="211"/>
      <c r="J253" s="129" t="s">
        <v>247</v>
      </c>
      <c r="K253" s="130">
        <v>6</v>
      </c>
      <c r="L253" s="212">
        <v>0</v>
      </c>
      <c r="M253" s="211"/>
      <c r="N253" s="213">
        <f>ROUND($L$253*$K$253,2)</f>
        <v>0</v>
      </c>
      <c r="O253" s="211"/>
      <c r="P253" s="211"/>
      <c r="Q253" s="211"/>
      <c r="R253" s="24"/>
      <c r="T253" s="131"/>
      <c r="U253" s="30" t="s">
        <v>40</v>
      </c>
      <c r="V253" s="132">
        <v>0.465</v>
      </c>
      <c r="W253" s="132">
        <f>$V$253*$K$253</f>
        <v>2.79</v>
      </c>
      <c r="X253" s="132">
        <v>0</v>
      </c>
      <c r="Y253" s="132">
        <f>$X$253*$K$253</f>
        <v>0</v>
      </c>
      <c r="Z253" s="132">
        <v>0</v>
      </c>
      <c r="AA253" s="133">
        <f>$Z$253*$K$253</f>
        <v>0</v>
      </c>
      <c r="AR253" s="6" t="s">
        <v>218</v>
      </c>
      <c r="AT253" s="6" t="s">
        <v>173</v>
      </c>
      <c r="AU253" s="6" t="s">
        <v>103</v>
      </c>
      <c r="AY253" s="6" t="s">
        <v>172</v>
      </c>
      <c r="BE253" s="82">
        <f>IF($U$253="základní",$N$253,0)</f>
        <v>0</v>
      </c>
      <c r="BF253" s="82">
        <f>IF($U$253="snížená",$N$253,0)</f>
        <v>0</v>
      </c>
      <c r="BG253" s="82">
        <f>IF($U$253="zákl. přenesena",$N$253,0)</f>
        <v>0</v>
      </c>
      <c r="BH253" s="82">
        <f>IF($U$253="sníž. přenesena",$N$253,0)</f>
        <v>0</v>
      </c>
      <c r="BI253" s="82">
        <f>IF($U$253="nulová",$N$253,0)</f>
        <v>0</v>
      </c>
      <c r="BJ253" s="6" t="s">
        <v>103</v>
      </c>
    </row>
    <row r="254" spans="2:62" s="6" customFormat="1" ht="15.75" customHeight="1">
      <c r="B254" s="22"/>
      <c r="C254" s="127" t="s">
        <v>485</v>
      </c>
      <c r="D254" s="127" t="s">
        <v>173</v>
      </c>
      <c r="E254" s="128" t="s">
        <v>486</v>
      </c>
      <c r="F254" s="210" t="s">
        <v>487</v>
      </c>
      <c r="G254" s="211"/>
      <c r="H254" s="211"/>
      <c r="I254" s="211"/>
      <c r="J254" s="129" t="s">
        <v>260</v>
      </c>
      <c r="K254" s="130">
        <v>1</v>
      </c>
      <c r="L254" s="212">
        <v>0</v>
      </c>
      <c r="M254" s="211"/>
      <c r="N254" s="213">
        <f>ROUND($L$254*$K$254,2)</f>
        <v>0</v>
      </c>
      <c r="O254" s="211"/>
      <c r="P254" s="211"/>
      <c r="Q254" s="211"/>
      <c r="R254" s="24"/>
      <c r="T254" s="131"/>
      <c r="U254" s="30" t="s">
        <v>40</v>
      </c>
      <c r="V254" s="132">
        <v>0.796</v>
      </c>
      <c r="W254" s="132">
        <f>$V$254*$K$254</f>
        <v>0.796</v>
      </c>
      <c r="X254" s="132">
        <v>0</v>
      </c>
      <c r="Y254" s="132">
        <f>$X$254*$K$254</f>
        <v>0</v>
      </c>
      <c r="Z254" s="132">
        <v>0</v>
      </c>
      <c r="AA254" s="133">
        <f>$Z$254*$K$254</f>
        <v>0</v>
      </c>
      <c r="AR254" s="6" t="s">
        <v>218</v>
      </c>
      <c r="AT254" s="6" t="s">
        <v>173</v>
      </c>
      <c r="AU254" s="6" t="s">
        <v>103</v>
      </c>
      <c r="AY254" s="6" t="s">
        <v>172</v>
      </c>
      <c r="BE254" s="82">
        <f>IF($U$254="základní",$N$254,0)</f>
        <v>0</v>
      </c>
      <c r="BF254" s="82">
        <f>IF($U$254="snížená",$N$254,0)</f>
        <v>0</v>
      </c>
      <c r="BG254" s="82">
        <f>IF($U$254="zákl. přenesena",$N$254,0)</f>
        <v>0</v>
      </c>
      <c r="BH254" s="82">
        <f>IF($U$254="sníž. přenesena",$N$254,0)</f>
        <v>0</v>
      </c>
      <c r="BI254" s="82">
        <f>IF($U$254="nulová",$N$254,0)</f>
        <v>0</v>
      </c>
      <c r="BJ254" s="6" t="s">
        <v>103</v>
      </c>
    </row>
    <row r="255" spans="2:62" s="6" customFormat="1" ht="27" customHeight="1">
      <c r="B255" s="22"/>
      <c r="C255" s="127" t="s">
        <v>488</v>
      </c>
      <c r="D255" s="127" t="s">
        <v>173</v>
      </c>
      <c r="E255" s="128" t="s">
        <v>489</v>
      </c>
      <c r="F255" s="210" t="s">
        <v>490</v>
      </c>
      <c r="G255" s="211"/>
      <c r="H255" s="211"/>
      <c r="I255" s="211"/>
      <c r="J255" s="129" t="s">
        <v>468</v>
      </c>
      <c r="K255" s="138">
        <v>0</v>
      </c>
      <c r="L255" s="212">
        <v>0</v>
      </c>
      <c r="M255" s="211"/>
      <c r="N255" s="213">
        <f>ROUND($L$255*$K$255,2)</f>
        <v>0</v>
      </c>
      <c r="O255" s="211"/>
      <c r="P255" s="211"/>
      <c r="Q255" s="211"/>
      <c r="R255" s="24"/>
      <c r="T255" s="131"/>
      <c r="U255" s="30" t="s">
        <v>40</v>
      </c>
      <c r="V255" s="132">
        <v>0</v>
      </c>
      <c r="W255" s="132">
        <f>$V$255*$K$255</f>
        <v>0</v>
      </c>
      <c r="X255" s="132">
        <v>0</v>
      </c>
      <c r="Y255" s="132">
        <f>$X$255*$K$255</f>
        <v>0</v>
      </c>
      <c r="Z255" s="132">
        <v>0</v>
      </c>
      <c r="AA255" s="133">
        <f>$Z$255*$K$255</f>
        <v>0</v>
      </c>
      <c r="AR255" s="6" t="s">
        <v>218</v>
      </c>
      <c r="AT255" s="6" t="s">
        <v>173</v>
      </c>
      <c r="AU255" s="6" t="s">
        <v>103</v>
      </c>
      <c r="AY255" s="6" t="s">
        <v>172</v>
      </c>
      <c r="BE255" s="82">
        <f>IF($U$255="základní",$N$255,0)</f>
        <v>0</v>
      </c>
      <c r="BF255" s="82">
        <f>IF($U$255="snížená",$N$255,0)</f>
        <v>0</v>
      </c>
      <c r="BG255" s="82">
        <f>IF($U$255="zákl. přenesena",$N$255,0)</f>
        <v>0</v>
      </c>
      <c r="BH255" s="82">
        <f>IF($U$255="sníž. přenesena",$N$255,0)</f>
        <v>0</v>
      </c>
      <c r="BI255" s="82">
        <f>IF($U$255="nulová",$N$255,0)</f>
        <v>0</v>
      </c>
      <c r="BJ255" s="6" t="s">
        <v>103</v>
      </c>
    </row>
    <row r="256" spans="2:51" s="117" customFormat="1" ht="30.75" customHeight="1">
      <c r="B256" s="118"/>
      <c r="C256" s="119"/>
      <c r="D256" s="126" t="s">
        <v>138</v>
      </c>
      <c r="E256" s="119"/>
      <c r="F256" s="119"/>
      <c r="G256" s="119"/>
      <c r="H256" s="119"/>
      <c r="I256" s="119"/>
      <c r="J256" s="119"/>
      <c r="K256" s="119"/>
      <c r="L256" s="119"/>
      <c r="M256" s="119"/>
      <c r="N256" s="221">
        <f>SUM($N$257:$N$261)</f>
        <v>0</v>
      </c>
      <c r="O256" s="220"/>
      <c r="P256" s="220"/>
      <c r="Q256" s="220"/>
      <c r="R256" s="121"/>
      <c r="T256" s="122"/>
      <c r="U256" s="119"/>
      <c r="V256" s="119"/>
      <c r="W256" s="123">
        <f>SUM($W$257:$W$261)</f>
        <v>49.39999999999999</v>
      </c>
      <c r="X256" s="119"/>
      <c r="Y256" s="123">
        <f>SUM($Y$257:$Y$261)</f>
        <v>2.87442155</v>
      </c>
      <c r="Z256" s="119"/>
      <c r="AA256" s="124">
        <f>SUM($AA$257:$AA$261)</f>
        <v>1.95</v>
      </c>
      <c r="AR256" s="125" t="s">
        <v>103</v>
      </c>
      <c r="AT256" s="125" t="s">
        <v>72</v>
      </c>
      <c r="AU256" s="125" t="s">
        <v>17</v>
      </c>
      <c r="AY256" s="125" t="s">
        <v>172</v>
      </c>
    </row>
    <row r="257" spans="2:62" s="6" customFormat="1" ht="27" customHeight="1">
      <c r="B257" s="22"/>
      <c r="C257" s="127" t="s">
        <v>491</v>
      </c>
      <c r="D257" s="127" t="s">
        <v>173</v>
      </c>
      <c r="E257" s="128" t="s">
        <v>492</v>
      </c>
      <c r="F257" s="210" t="s">
        <v>493</v>
      </c>
      <c r="G257" s="211"/>
      <c r="H257" s="211"/>
      <c r="I257" s="211"/>
      <c r="J257" s="129" t="s">
        <v>176</v>
      </c>
      <c r="K257" s="130">
        <v>130</v>
      </c>
      <c r="L257" s="212">
        <v>0</v>
      </c>
      <c r="M257" s="211"/>
      <c r="N257" s="213">
        <f>ROUND($L$257*$K$257,2)</f>
        <v>0</v>
      </c>
      <c r="O257" s="211"/>
      <c r="P257" s="211"/>
      <c r="Q257" s="211"/>
      <c r="R257" s="24"/>
      <c r="T257" s="131"/>
      <c r="U257" s="30" t="s">
        <v>40</v>
      </c>
      <c r="V257" s="132">
        <v>0.29</v>
      </c>
      <c r="W257" s="132">
        <f>$V$257*$K$257</f>
        <v>37.699999999999996</v>
      </c>
      <c r="X257" s="132">
        <v>0</v>
      </c>
      <c r="Y257" s="132">
        <f>$X$257*$K$257</f>
        <v>0</v>
      </c>
      <c r="Z257" s="132">
        <v>0</v>
      </c>
      <c r="AA257" s="133">
        <f>$Z$257*$K$257</f>
        <v>0</v>
      </c>
      <c r="AR257" s="6" t="s">
        <v>218</v>
      </c>
      <c r="AT257" s="6" t="s">
        <v>173</v>
      </c>
      <c r="AU257" s="6" t="s">
        <v>103</v>
      </c>
      <c r="AY257" s="6" t="s">
        <v>172</v>
      </c>
      <c r="BE257" s="82">
        <f>IF($U$257="základní",$N$257,0)</f>
        <v>0</v>
      </c>
      <c r="BF257" s="82">
        <f>IF($U$257="snížená",$N$257,0)</f>
        <v>0</v>
      </c>
      <c r="BG257" s="82">
        <f>IF($U$257="zákl. přenesena",$N$257,0)</f>
        <v>0</v>
      </c>
      <c r="BH257" s="82">
        <f>IF($U$257="sníž. přenesena",$N$257,0)</f>
        <v>0</v>
      </c>
      <c r="BI257" s="82">
        <f>IF($U$257="nulová",$N$257,0)</f>
        <v>0</v>
      </c>
      <c r="BJ257" s="6" t="s">
        <v>103</v>
      </c>
    </row>
    <row r="258" spans="2:62" s="6" customFormat="1" ht="27" customHeight="1">
      <c r="B258" s="22"/>
      <c r="C258" s="134" t="s">
        <v>494</v>
      </c>
      <c r="D258" s="134" t="s">
        <v>201</v>
      </c>
      <c r="E258" s="135" t="s">
        <v>495</v>
      </c>
      <c r="F258" s="214" t="s">
        <v>496</v>
      </c>
      <c r="G258" s="215"/>
      <c r="H258" s="215"/>
      <c r="I258" s="215"/>
      <c r="J258" s="136" t="s">
        <v>179</v>
      </c>
      <c r="K258" s="137">
        <v>5.005</v>
      </c>
      <c r="L258" s="216">
        <v>0</v>
      </c>
      <c r="M258" s="215"/>
      <c r="N258" s="217">
        <f>ROUND($L$258*$K$258,2)</f>
        <v>0</v>
      </c>
      <c r="O258" s="211"/>
      <c r="P258" s="211"/>
      <c r="Q258" s="211"/>
      <c r="R258" s="24"/>
      <c r="T258" s="131"/>
      <c r="U258" s="30" t="s">
        <v>40</v>
      </c>
      <c r="V258" s="132">
        <v>0</v>
      </c>
      <c r="W258" s="132">
        <f>$V$258*$K$258</f>
        <v>0</v>
      </c>
      <c r="X258" s="132">
        <v>0.55</v>
      </c>
      <c r="Y258" s="132">
        <f>$X$258*$K$258</f>
        <v>2.7527500000000003</v>
      </c>
      <c r="Z258" s="132">
        <v>0</v>
      </c>
      <c r="AA258" s="133">
        <f>$Z$258*$K$258</f>
        <v>0</v>
      </c>
      <c r="AR258" s="6" t="s">
        <v>267</v>
      </c>
      <c r="AT258" s="6" t="s">
        <v>201</v>
      </c>
      <c r="AU258" s="6" t="s">
        <v>103</v>
      </c>
      <c r="AY258" s="6" t="s">
        <v>172</v>
      </c>
      <c r="BE258" s="82">
        <f>IF($U$258="základní",$N$258,0)</f>
        <v>0</v>
      </c>
      <c r="BF258" s="82">
        <f>IF($U$258="snížená",$N$258,0)</f>
        <v>0</v>
      </c>
      <c r="BG258" s="82">
        <f>IF($U$258="zákl. přenesena",$N$258,0)</f>
        <v>0</v>
      </c>
      <c r="BH258" s="82">
        <f>IF($U$258="sníž. přenesena",$N$258,0)</f>
        <v>0</v>
      </c>
      <c r="BI258" s="82">
        <f>IF($U$258="nulová",$N$258,0)</f>
        <v>0</v>
      </c>
      <c r="BJ258" s="6" t="s">
        <v>103</v>
      </c>
    </row>
    <row r="259" spans="2:62" s="6" customFormat="1" ht="15.75" customHeight="1">
      <c r="B259" s="22"/>
      <c r="C259" s="127" t="s">
        <v>497</v>
      </c>
      <c r="D259" s="127" t="s">
        <v>173</v>
      </c>
      <c r="E259" s="128" t="s">
        <v>498</v>
      </c>
      <c r="F259" s="210" t="s">
        <v>499</v>
      </c>
      <c r="G259" s="211"/>
      <c r="H259" s="211"/>
      <c r="I259" s="211"/>
      <c r="J259" s="129" t="s">
        <v>176</v>
      </c>
      <c r="K259" s="130">
        <v>130</v>
      </c>
      <c r="L259" s="212">
        <v>0</v>
      </c>
      <c r="M259" s="211"/>
      <c r="N259" s="213">
        <f>ROUND($L$259*$K$259,2)</f>
        <v>0</v>
      </c>
      <c r="O259" s="211"/>
      <c r="P259" s="211"/>
      <c r="Q259" s="211"/>
      <c r="R259" s="24"/>
      <c r="T259" s="131"/>
      <c r="U259" s="30" t="s">
        <v>40</v>
      </c>
      <c r="V259" s="132">
        <v>0.09</v>
      </c>
      <c r="W259" s="132">
        <f>$V$259*$K$259</f>
        <v>11.7</v>
      </c>
      <c r="X259" s="132">
        <v>0</v>
      </c>
      <c r="Y259" s="132">
        <f>$X$259*$K$259</f>
        <v>0</v>
      </c>
      <c r="Z259" s="132">
        <v>0.015</v>
      </c>
      <c r="AA259" s="133">
        <f>$Z$259*$K$259</f>
        <v>1.95</v>
      </c>
      <c r="AR259" s="6" t="s">
        <v>218</v>
      </c>
      <c r="AT259" s="6" t="s">
        <v>173</v>
      </c>
      <c r="AU259" s="6" t="s">
        <v>103</v>
      </c>
      <c r="AY259" s="6" t="s">
        <v>172</v>
      </c>
      <c r="BE259" s="82">
        <f>IF($U$259="základní",$N$259,0)</f>
        <v>0</v>
      </c>
      <c r="BF259" s="82">
        <f>IF($U$259="snížená",$N$259,0)</f>
        <v>0</v>
      </c>
      <c r="BG259" s="82">
        <f>IF($U$259="zákl. přenesena",$N$259,0)</f>
        <v>0</v>
      </c>
      <c r="BH259" s="82">
        <f>IF($U$259="sníž. přenesena",$N$259,0)</f>
        <v>0</v>
      </c>
      <c r="BI259" s="82">
        <f>IF($U$259="nulová",$N$259,0)</f>
        <v>0</v>
      </c>
      <c r="BJ259" s="6" t="s">
        <v>103</v>
      </c>
    </row>
    <row r="260" spans="2:62" s="6" customFormat="1" ht="27" customHeight="1">
      <c r="B260" s="22"/>
      <c r="C260" s="127" t="s">
        <v>500</v>
      </c>
      <c r="D260" s="127" t="s">
        <v>173</v>
      </c>
      <c r="E260" s="128" t="s">
        <v>501</v>
      </c>
      <c r="F260" s="210" t="s">
        <v>502</v>
      </c>
      <c r="G260" s="211"/>
      <c r="H260" s="211"/>
      <c r="I260" s="211"/>
      <c r="J260" s="129" t="s">
        <v>179</v>
      </c>
      <c r="K260" s="130">
        <v>5.005</v>
      </c>
      <c r="L260" s="212">
        <v>0</v>
      </c>
      <c r="M260" s="211"/>
      <c r="N260" s="213">
        <f>ROUND($L$260*$K$260,2)</f>
        <v>0</v>
      </c>
      <c r="O260" s="211"/>
      <c r="P260" s="211"/>
      <c r="Q260" s="211"/>
      <c r="R260" s="24"/>
      <c r="T260" s="131"/>
      <c r="U260" s="30" t="s">
        <v>40</v>
      </c>
      <c r="V260" s="132">
        <v>0</v>
      </c>
      <c r="W260" s="132">
        <f>$V$260*$K$260</f>
        <v>0</v>
      </c>
      <c r="X260" s="132">
        <v>0.02431</v>
      </c>
      <c r="Y260" s="132">
        <f>$X$260*$K$260</f>
        <v>0.12167154999999999</v>
      </c>
      <c r="Z260" s="132">
        <v>0</v>
      </c>
      <c r="AA260" s="133">
        <f>$Z$260*$K$260</f>
        <v>0</v>
      </c>
      <c r="AR260" s="6" t="s">
        <v>218</v>
      </c>
      <c r="AT260" s="6" t="s">
        <v>173</v>
      </c>
      <c r="AU260" s="6" t="s">
        <v>103</v>
      </c>
      <c r="AY260" s="6" t="s">
        <v>172</v>
      </c>
      <c r="BE260" s="82">
        <f>IF($U$260="základní",$N$260,0)</f>
        <v>0</v>
      </c>
      <c r="BF260" s="82">
        <f>IF($U$260="snížená",$N$260,0)</f>
        <v>0</v>
      </c>
      <c r="BG260" s="82">
        <f>IF($U$260="zákl. přenesena",$N$260,0)</f>
        <v>0</v>
      </c>
      <c r="BH260" s="82">
        <f>IF($U$260="sníž. přenesena",$N$260,0)</f>
        <v>0</v>
      </c>
      <c r="BI260" s="82">
        <f>IF($U$260="nulová",$N$260,0)</f>
        <v>0</v>
      </c>
      <c r="BJ260" s="6" t="s">
        <v>103</v>
      </c>
    </row>
    <row r="261" spans="2:62" s="6" customFormat="1" ht="27" customHeight="1">
      <c r="B261" s="22"/>
      <c r="C261" s="127" t="s">
        <v>503</v>
      </c>
      <c r="D261" s="127" t="s">
        <v>173</v>
      </c>
      <c r="E261" s="128" t="s">
        <v>504</v>
      </c>
      <c r="F261" s="210" t="s">
        <v>505</v>
      </c>
      <c r="G261" s="211"/>
      <c r="H261" s="211"/>
      <c r="I261" s="211"/>
      <c r="J261" s="129" t="s">
        <v>468</v>
      </c>
      <c r="K261" s="138">
        <v>0</v>
      </c>
      <c r="L261" s="212">
        <v>0</v>
      </c>
      <c r="M261" s="211"/>
      <c r="N261" s="213">
        <f>ROUND($L$261*$K$261,2)</f>
        <v>0</v>
      </c>
      <c r="O261" s="211"/>
      <c r="P261" s="211"/>
      <c r="Q261" s="211"/>
      <c r="R261" s="24"/>
      <c r="T261" s="131"/>
      <c r="U261" s="30" t="s">
        <v>40</v>
      </c>
      <c r="V261" s="132">
        <v>0</v>
      </c>
      <c r="W261" s="132">
        <f>$V$261*$K$261</f>
        <v>0</v>
      </c>
      <c r="X261" s="132">
        <v>0</v>
      </c>
      <c r="Y261" s="132">
        <f>$X$261*$K$261</f>
        <v>0</v>
      </c>
      <c r="Z261" s="132">
        <v>0</v>
      </c>
      <c r="AA261" s="133">
        <f>$Z$261*$K$261</f>
        <v>0</v>
      </c>
      <c r="AR261" s="6" t="s">
        <v>218</v>
      </c>
      <c r="AT261" s="6" t="s">
        <v>173</v>
      </c>
      <c r="AU261" s="6" t="s">
        <v>103</v>
      </c>
      <c r="AY261" s="6" t="s">
        <v>172</v>
      </c>
      <c r="BE261" s="82">
        <f>IF($U$261="základní",$N$261,0)</f>
        <v>0</v>
      </c>
      <c r="BF261" s="82">
        <f>IF($U$261="snížená",$N$261,0)</f>
        <v>0</v>
      </c>
      <c r="BG261" s="82">
        <f>IF($U$261="zákl. přenesena",$N$261,0)</f>
        <v>0</v>
      </c>
      <c r="BH261" s="82">
        <f>IF($U$261="sníž. přenesena",$N$261,0)</f>
        <v>0</v>
      </c>
      <c r="BI261" s="82">
        <f>IF($U$261="nulová",$N$261,0)</f>
        <v>0</v>
      </c>
      <c r="BJ261" s="6" t="s">
        <v>103</v>
      </c>
    </row>
    <row r="262" spans="2:51" s="117" customFormat="1" ht="30.75" customHeight="1">
      <c r="B262" s="118"/>
      <c r="C262" s="119"/>
      <c r="D262" s="126" t="s">
        <v>139</v>
      </c>
      <c r="E262" s="119"/>
      <c r="F262" s="119"/>
      <c r="G262" s="119"/>
      <c r="H262" s="119"/>
      <c r="I262" s="119"/>
      <c r="J262" s="119"/>
      <c r="K262" s="119"/>
      <c r="L262" s="119"/>
      <c r="M262" s="119"/>
      <c r="N262" s="221">
        <f>SUM($N$263:$N$295)</f>
        <v>0</v>
      </c>
      <c r="O262" s="220"/>
      <c r="P262" s="220"/>
      <c r="Q262" s="220"/>
      <c r="R262" s="121"/>
      <c r="T262" s="122"/>
      <c r="U262" s="119"/>
      <c r="V262" s="119"/>
      <c r="W262" s="123">
        <f>SUM($W$263:$W$295)</f>
        <v>309.6009</v>
      </c>
      <c r="X262" s="119"/>
      <c r="Y262" s="123">
        <f>SUM($Y$263:$Y$295)</f>
        <v>2.260738</v>
      </c>
      <c r="Z262" s="119"/>
      <c r="AA262" s="124">
        <f>SUM($AA$263:$AA$295)</f>
        <v>0.61685</v>
      </c>
      <c r="AR262" s="125" t="s">
        <v>103</v>
      </c>
      <c r="AT262" s="125" t="s">
        <v>72</v>
      </c>
      <c r="AU262" s="125" t="s">
        <v>17</v>
      </c>
      <c r="AY262" s="125" t="s">
        <v>172</v>
      </c>
    </row>
    <row r="263" spans="2:62" s="6" customFormat="1" ht="15.75" customHeight="1">
      <c r="B263" s="22"/>
      <c r="C263" s="127" t="s">
        <v>506</v>
      </c>
      <c r="D263" s="127" t="s">
        <v>173</v>
      </c>
      <c r="E263" s="128" t="s">
        <v>507</v>
      </c>
      <c r="F263" s="210" t="s">
        <v>508</v>
      </c>
      <c r="G263" s="211"/>
      <c r="H263" s="211"/>
      <c r="I263" s="211"/>
      <c r="J263" s="129" t="s">
        <v>260</v>
      </c>
      <c r="K263" s="130">
        <v>4</v>
      </c>
      <c r="L263" s="212">
        <v>0</v>
      </c>
      <c r="M263" s="211"/>
      <c r="N263" s="213">
        <f>ROUND($L$263*$K$263,2)</f>
        <v>0</v>
      </c>
      <c r="O263" s="211"/>
      <c r="P263" s="211"/>
      <c r="Q263" s="211"/>
      <c r="R263" s="24"/>
      <c r="T263" s="131"/>
      <c r="U263" s="30" t="s">
        <v>40</v>
      </c>
      <c r="V263" s="132">
        <v>0</v>
      </c>
      <c r="W263" s="132">
        <f>$V$263*$K$263</f>
        <v>0</v>
      </c>
      <c r="X263" s="132">
        <v>0</v>
      </c>
      <c r="Y263" s="132">
        <f>$X$263*$K$263</f>
        <v>0</v>
      </c>
      <c r="Z263" s="132">
        <v>0</v>
      </c>
      <c r="AA263" s="133">
        <f>$Z$263*$K$263</f>
        <v>0</v>
      </c>
      <c r="AR263" s="6" t="s">
        <v>218</v>
      </c>
      <c r="AT263" s="6" t="s">
        <v>173</v>
      </c>
      <c r="AU263" s="6" t="s">
        <v>103</v>
      </c>
      <c r="AY263" s="6" t="s">
        <v>172</v>
      </c>
      <c r="BE263" s="82">
        <f>IF($U$263="základní",$N$263,0)</f>
        <v>0</v>
      </c>
      <c r="BF263" s="82">
        <f>IF($U$263="snížená",$N$263,0)</f>
        <v>0</v>
      </c>
      <c r="BG263" s="82">
        <f>IF($U$263="zákl. přenesena",$N$263,0)</f>
        <v>0</v>
      </c>
      <c r="BH263" s="82">
        <f>IF($U$263="sníž. přenesena",$N$263,0)</f>
        <v>0</v>
      </c>
      <c r="BI263" s="82">
        <f>IF($U$263="nulová",$N$263,0)</f>
        <v>0</v>
      </c>
      <c r="BJ263" s="6" t="s">
        <v>103</v>
      </c>
    </row>
    <row r="264" spans="2:62" s="6" customFormat="1" ht="27" customHeight="1">
      <c r="B264" s="22"/>
      <c r="C264" s="127" t="s">
        <v>509</v>
      </c>
      <c r="D264" s="127" t="s">
        <v>173</v>
      </c>
      <c r="E264" s="128" t="s">
        <v>510</v>
      </c>
      <c r="F264" s="210" t="s">
        <v>511</v>
      </c>
      <c r="G264" s="211"/>
      <c r="H264" s="211"/>
      <c r="I264" s="211"/>
      <c r="J264" s="129" t="s">
        <v>247</v>
      </c>
      <c r="K264" s="130">
        <v>10</v>
      </c>
      <c r="L264" s="212">
        <v>0</v>
      </c>
      <c r="M264" s="211"/>
      <c r="N264" s="213">
        <f>ROUND($L$264*$K$264,2)</f>
        <v>0</v>
      </c>
      <c r="O264" s="211"/>
      <c r="P264" s="211"/>
      <c r="Q264" s="211"/>
      <c r="R264" s="24"/>
      <c r="T264" s="131"/>
      <c r="U264" s="30" t="s">
        <v>40</v>
      </c>
      <c r="V264" s="132">
        <v>0.168</v>
      </c>
      <c r="W264" s="132">
        <f>$V$264*$K$264</f>
        <v>1.6800000000000002</v>
      </c>
      <c r="X264" s="132">
        <v>0.00404</v>
      </c>
      <c r="Y264" s="132">
        <f>$X$264*$K$264</f>
        <v>0.040400000000000005</v>
      </c>
      <c r="Z264" s="132">
        <v>0</v>
      </c>
      <c r="AA264" s="133">
        <f>$Z$264*$K$264</f>
        <v>0</v>
      </c>
      <c r="AR264" s="6" t="s">
        <v>218</v>
      </c>
      <c r="AT264" s="6" t="s">
        <v>173</v>
      </c>
      <c r="AU264" s="6" t="s">
        <v>103</v>
      </c>
      <c r="AY264" s="6" t="s">
        <v>172</v>
      </c>
      <c r="BE264" s="82">
        <f>IF($U$264="základní",$N$264,0)</f>
        <v>0</v>
      </c>
      <c r="BF264" s="82">
        <f>IF($U$264="snížená",$N$264,0)</f>
        <v>0</v>
      </c>
      <c r="BG264" s="82">
        <f>IF($U$264="zákl. přenesena",$N$264,0)</f>
        <v>0</v>
      </c>
      <c r="BH264" s="82">
        <f>IF($U$264="sníž. přenesena",$N$264,0)</f>
        <v>0</v>
      </c>
      <c r="BI264" s="82">
        <f>IF($U$264="nulová",$N$264,0)</f>
        <v>0</v>
      </c>
      <c r="BJ264" s="6" t="s">
        <v>103</v>
      </c>
    </row>
    <row r="265" spans="2:62" s="6" customFormat="1" ht="15.75" customHeight="1">
      <c r="B265" s="22"/>
      <c r="C265" s="127" t="s">
        <v>512</v>
      </c>
      <c r="D265" s="127" t="s">
        <v>173</v>
      </c>
      <c r="E265" s="128" t="s">
        <v>513</v>
      </c>
      <c r="F265" s="210" t="s">
        <v>514</v>
      </c>
      <c r="G265" s="211"/>
      <c r="H265" s="211"/>
      <c r="I265" s="211"/>
      <c r="J265" s="129" t="s">
        <v>247</v>
      </c>
      <c r="K265" s="130">
        <v>10</v>
      </c>
      <c r="L265" s="212">
        <v>0</v>
      </c>
      <c r="M265" s="211"/>
      <c r="N265" s="213">
        <f>ROUND($L$265*$K$265,2)</f>
        <v>0</v>
      </c>
      <c r="O265" s="211"/>
      <c r="P265" s="211"/>
      <c r="Q265" s="211"/>
      <c r="R265" s="24"/>
      <c r="T265" s="131"/>
      <c r="U265" s="30" t="s">
        <v>40</v>
      </c>
      <c r="V265" s="132">
        <v>0.177</v>
      </c>
      <c r="W265" s="132">
        <f>$V$265*$K$265</f>
        <v>1.77</v>
      </c>
      <c r="X265" s="132">
        <v>0.00483</v>
      </c>
      <c r="Y265" s="132">
        <f>$X$265*$K$265</f>
        <v>0.0483</v>
      </c>
      <c r="Z265" s="132">
        <v>0</v>
      </c>
      <c r="AA265" s="133">
        <f>$Z$265*$K$265</f>
        <v>0</v>
      </c>
      <c r="AR265" s="6" t="s">
        <v>218</v>
      </c>
      <c r="AT265" s="6" t="s">
        <v>173</v>
      </c>
      <c r="AU265" s="6" t="s">
        <v>103</v>
      </c>
      <c r="AY265" s="6" t="s">
        <v>172</v>
      </c>
      <c r="BE265" s="82">
        <f>IF($U$265="základní",$N$265,0)</f>
        <v>0</v>
      </c>
      <c r="BF265" s="82">
        <f>IF($U$265="snížená",$N$265,0)</f>
        <v>0</v>
      </c>
      <c r="BG265" s="82">
        <f>IF($U$265="zákl. přenesena",$N$265,0)</f>
        <v>0</v>
      </c>
      <c r="BH265" s="82">
        <f>IF($U$265="sníž. přenesena",$N$265,0)</f>
        <v>0</v>
      </c>
      <c r="BI265" s="82">
        <f>IF($U$265="nulová",$N$265,0)</f>
        <v>0</v>
      </c>
      <c r="BJ265" s="6" t="s">
        <v>103</v>
      </c>
    </row>
    <row r="266" spans="2:62" s="6" customFormat="1" ht="27" customHeight="1">
      <c r="B266" s="22"/>
      <c r="C266" s="127" t="s">
        <v>515</v>
      </c>
      <c r="D266" s="127" t="s">
        <v>173</v>
      </c>
      <c r="E266" s="128" t="s">
        <v>516</v>
      </c>
      <c r="F266" s="210" t="s">
        <v>517</v>
      </c>
      <c r="G266" s="211"/>
      <c r="H266" s="211"/>
      <c r="I266" s="211"/>
      <c r="J266" s="129" t="s">
        <v>176</v>
      </c>
      <c r="K266" s="130">
        <v>5</v>
      </c>
      <c r="L266" s="212">
        <v>0</v>
      </c>
      <c r="M266" s="211"/>
      <c r="N266" s="213">
        <f>ROUND($L$266*$K$266,2)</f>
        <v>0</v>
      </c>
      <c r="O266" s="211"/>
      <c r="P266" s="211"/>
      <c r="Q266" s="211"/>
      <c r="R266" s="24"/>
      <c r="T266" s="131"/>
      <c r="U266" s="30" t="s">
        <v>40</v>
      </c>
      <c r="V266" s="132">
        <v>3.17</v>
      </c>
      <c r="W266" s="132">
        <f>$V$266*$K$266</f>
        <v>15.85</v>
      </c>
      <c r="X266" s="132">
        <v>0.00674</v>
      </c>
      <c r="Y266" s="132">
        <f>$X$266*$K$266</f>
        <v>0.0337</v>
      </c>
      <c r="Z266" s="132">
        <v>0</v>
      </c>
      <c r="AA266" s="133">
        <f>$Z$266*$K$266</f>
        <v>0</v>
      </c>
      <c r="AR266" s="6" t="s">
        <v>218</v>
      </c>
      <c r="AT266" s="6" t="s">
        <v>173</v>
      </c>
      <c r="AU266" s="6" t="s">
        <v>103</v>
      </c>
      <c r="AY266" s="6" t="s">
        <v>172</v>
      </c>
      <c r="BE266" s="82">
        <f>IF($U$266="základní",$N$266,0)</f>
        <v>0</v>
      </c>
      <c r="BF266" s="82">
        <f>IF($U$266="snížená",$N$266,0)</f>
        <v>0</v>
      </c>
      <c r="BG266" s="82">
        <f>IF($U$266="zákl. přenesena",$N$266,0)</f>
        <v>0</v>
      </c>
      <c r="BH266" s="82">
        <f>IF($U$266="sníž. přenesena",$N$266,0)</f>
        <v>0</v>
      </c>
      <c r="BI266" s="82">
        <f>IF($U$266="nulová",$N$266,0)</f>
        <v>0</v>
      </c>
      <c r="BJ266" s="6" t="s">
        <v>103</v>
      </c>
    </row>
    <row r="267" spans="2:62" s="6" customFormat="1" ht="15.75" customHeight="1">
      <c r="B267" s="22"/>
      <c r="C267" s="127" t="s">
        <v>518</v>
      </c>
      <c r="D267" s="127" t="s">
        <v>173</v>
      </c>
      <c r="E267" s="128" t="s">
        <v>519</v>
      </c>
      <c r="F267" s="210" t="s">
        <v>520</v>
      </c>
      <c r="G267" s="211"/>
      <c r="H267" s="211"/>
      <c r="I267" s="211"/>
      <c r="J267" s="129" t="s">
        <v>247</v>
      </c>
      <c r="K267" s="130">
        <v>7</v>
      </c>
      <c r="L267" s="212">
        <v>0</v>
      </c>
      <c r="M267" s="211"/>
      <c r="N267" s="213">
        <f>ROUND($L$267*$K$267,2)</f>
        <v>0</v>
      </c>
      <c r="O267" s="211"/>
      <c r="P267" s="211"/>
      <c r="Q267" s="211"/>
      <c r="R267" s="24"/>
      <c r="T267" s="131"/>
      <c r="U267" s="30" t="s">
        <v>40</v>
      </c>
      <c r="V267" s="132">
        <v>0.434</v>
      </c>
      <c r="W267" s="132">
        <f>$V$267*$K$267</f>
        <v>3.038</v>
      </c>
      <c r="X267" s="132">
        <v>0.0041</v>
      </c>
      <c r="Y267" s="132">
        <f>$X$267*$K$267</f>
        <v>0.028700000000000003</v>
      </c>
      <c r="Z267" s="132">
        <v>0</v>
      </c>
      <c r="AA267" s="133">
        <f>$Z$267*$K$267</f>
        <v>0</v>
      </c>
      <c r="AR267" s="6" t="s">
        <v>218</v>
      </c>
      <c r="AT267" s="6" t="s">
        <v>173</v>
      </c>
      <c r="AU267" s="6" t="s">
        <v>103</v>
      </c>
      <c r="AY267" s="6" t="s">
        <v>172</v>
      </c>
      <c r="BE267" s="82">
        <f>IF($U$267="základní",$N$267,0)</f>
        <v>0</v>
      </c>
      <c r="BF267" s="82">
        <f>IF($U$267="snížená",$N$267,0)</f>
        <v>0</v>
      </c>
      <c r="BG267" s="82">
        <f>IF($U$267="zákl. přenesena",$N$267,0)</f>
        <v>0</v>
      </c>
      <c r="BH267" s="82">
        <f>IF($U$267="sníž. přenesena",$N$267,0)</f>
        <v>0</v>
      </c>
      <c r="BI267" s="82">
        <f>IF($U$267="nulová",$N$267,0)</f>
        <v>0</v>
      </c>
      <c r="BJ267" s="6" t="s">
        <v>103</v>
      </c>
    </row>
    <row r="268" spans="2:62" s="6" customFormat="1" ht="15.75" customHeight="1">
      <c r="B268" s="22"/>
      <c r="C268" s="127" t="s">
        <v>521</v>
      </c>
      <c r="D268" s="127" t="s">
        <v>173</v>
      </c>
      <c r="E268" s="128" t="s">
        <v>522</v>
      </c>
      <c r="F268" s="210" t="s">
        <v>523</v>
      </c>
      <c r="G268" s="211"/>
      <c r="H268" s="211"/>
      <c r="I268" s="211"/>
      <c r="J268" s="129" t="s">
        <v>260</v>
      </c>
      <c r="K268" s="130">
        <v>4</v>
      </c>
      <c r="L268" s="212">
        <v>0</v>
      </c>
      <c r="M268" s="211"/>
      <c r="N268" s="213">
        <f>ROUND($L$268*$K$268,2)</f>
        <v>0</v>
      </c>
      <c r="O268" s="211"/>
      <c r="P268" s="211"/>
      <c r="Q268" s="211"/>
      <c r="R268" s="24"/>
      <c r="T268" s="131"/>
      <c r="U268" s="30" t="s">
        <v>40</v>
      </c>
      <c r="V268" s="132">
        <v>0.345</v>
      </c>
      <c r="W268" s="132">
        <f>$V$268*$K$268</f>
        <v>1.38</v>
      </c>
      <c r="X268" s="132">
        <v>0.00317</v>
      </c>
      <c r="Y268" s="132">
        <f>$X$268*$K$268</f>
        <v>0.01268</v>
      </c>
      <c r="Z268" s="132">
        <v>0</v>
      </c>
      <c r="AA268" s="133">
        <f>$Z$268*$K$268</f>
        <v>0</v>
      </c>
      <c r="AR268" s="6" t="s">
        <v>218</v>
      </c>
      <c r="AT268" s="6" t="s">
        <v>173</v>
      </c>
      <c r="AU268" s="6" t="s">
        <v>103</v>
      </c>
      <c r="AY268" s="6" t="s">
        <v>172</v>
      </c>
      <c r="BE268" s="82">
        <f>IF($U$268="základní",$N$268,0)</f>
        <v>0</v>
      </c>
      <c r="BF268" s="82">
        <f>IF($U$268="snížená",$N$268,0)</f>
        <v>0</v>
      </c>
      <c r="BG268" s="82">
        <f>IF($U$268="zákl. přenesena",$N$268,0)</f>
        <v>0</v>
      </c>
      <c r="BH268" s="82">
        <f>IF($U$268="sníž. přenesena",$N$268,0)</f>
        <v>0</v>
      </c>
      <c r="BI268" s="82">
        <f>IF($U$268="nulová",$N$268,0)</f>
        <v>0</v>
      </c>
      <c r="BJ268" s="6" t="s">
        <v>103</v>
      </c>
    </row>
    <row r="269" spans="2:62" s="6" customFormat="1" ht="27" customHeight="1">
      <c r="B269" s="22"/>
      <c r="C269" s="127" t="s">
        <v>524</v>
      </c>
      <c r="D269" s="127" t="s">
        <v>173</v>
      </c>
      <c r="E269" s="128" t="s">
        <v>525</v>
      </c>
      <c r="F269" s="210" t="s">
        <v>526</v>
      </c>
      <c r="G269" s="211"/>
      <c r="H269" s="211"/>
      <c r="I269" s="211"/>
      <c r="J269" s="129" t="s">
        <v>176</v>
      </c>
      <c r="K269" s="130">
        <v>46</v>
      </c>
      <c r="L269" s="212">
        <v>0</v>
      </c>
      <c r="M269" s="211"/>
      <c r="N269" s="213">
        <f>ROUND($L$269*$K$269,2)</f>
        <v>0</v>
      </c>
      <c r="O269" s="211"/>
      <c r="P269" s="211"/>
      <c r="Q269" s="211"/>
      <c r="R269" s="24"/>
      <c r="T269" s="131"/>
      <c r="U269" s="30" t="s">
        <v>40</v>
      </c>
      <c r="V269" s="132">
        <v>0.87</v>
      </c>
      <c r="W269" s="132">
        <f>$V$269*$K$269</f>
        <v>40.02</v>
      </c>
      <c r="X269" s="132">
        <v>0.00343</v>
      </c>
      <c r="Y269" s="132">
        <f>$X$269*$K$269</f>
        <v>0.15778</v>
      </c>
      <c r="Z269" s="132">
        <v>0</v>
      </c>
      <c r="AA269" s="133">
        <f>$Z$269*$K$269</f>
        <v>0</v>
      </c>
      <c r="AR269" s="6" t="s">
        <v>218</v>
      </c>
      <c r="AT269" s="6" t="s">
        <v>173</v>
      </c>
      <c r="AU269" s="6" t="s">
        <v>103</v>
      </c>
      <c r="AY269" s="6" t="s">
        <v>172</v>
      </c>
      <c r="BE269" s="82">
        <f>IF($U$269="základní",$N$269,0)</f>
        <v>0</v>
      </c>
      <c r="BF269" s="82">
        <f>IF($U$269="snížená",$N$269,0)</f>
        <v>0</v>
      </c>
      <c r="BG269" s="82">
        <f>IF($U$269="zákl. přenesena",$N$269,0)</f>
        <v>0</v>
      </c>
      <c r="BH269" s="82">
        <f>IF($U$269="sníž. přenesena",$N$269,0)</f>
        <v>0</v>
      </c>
      <c r="BI269" s="82">
        <f>IF($U$269="nulová",$N$269,0)</f>
        <v>0</v>
      </c>
      <c r="BJ269" s="6" t="s">
        <v>103</v>
      </c>
    </row>
    <row r="270" spans="2:62" s="6" customFormat="1" ht="27" customHeight="1">
      <c r="B270" s="22"/>
      <c r="C270" s="127" t="s">
        <v>527</v>
      </c>
      <c r="D270" s="127" t="s">
        <v>173</v>
      </c>
      <c r="E270" s="128" t="s">
        <v>528</v>
      </c>
      <c r="F270" s="210" t="s">
        <v>529</v>
      </c>
      <c r="G270" s="211"/>
      <c r="H270" s="211"/>
      <c r="I270" s="211"/>
      <c r="J270" s="129" t="s">
        <v>176</v>
      </c>
      <c r="K270" s="130">
        <v>46</v>
      </c>
      <c r="L270" s="212">
        <v>0</v>
      </c>
      <c r="M270" s="211"/>
      <c r="N270" s="213">
        <f>ROUND($L$270*$K$270,2)</f>
        <v>0</v>
      </c>
      <c r="O270" s="211"/>
      <c r="P270" s="211"/>
      <c r="Q270" s="211"/>
      <c r="R270" s="24"/>
      <c r="T270" s="131"/>
      <c r="U270" s="30" t="s">
        <v>40</v>
      </c>
      <c r="V270" s="132">
        <v>0.12</v>
      </c>
      <c r="W270" s="132">
        <f>$V$270*$K$270</f>
        <v>5.52</v>
      </c>
      <c r="X270" s="132">
        <v>0</v>
      </c>
      <c r="Y270" s="132">
        <f>$X$270*$K$270</f>
        <v>0</v>
      </c>
      <c r="Z270" s="132">
        <v>0.00732</v>
      </c>
      <c r="AA270" s="133">
        <f>$Z$270*$K$270</f>
        <v>0.33672</v>
      </c>
      <c r="AR270" s="6" t="s">
        <v>218</v>
      </c>
      <c r="AT270" s="6" t="s">
        <v>173</v>
      </c>
      <c r="AU270" s="6" t="s">
        <v>103</v>
      </c>
      <c r="AY270" s="6" t="s">
        <v>172</v>
      </c>
      <c r="BE270" s="82">
        <f>IF($U$270="základní",$N$270,0)</f>
        <v>0</v>
      </c>
      <c r="BF270" s="82">
        <f>IF($U$270="snížená",$N$270,0)</f>
        <v>0</v>
      </c>
      <c r="BG270" s="82">
        <f>IF($U$270="zákl. přenesena",$N$270,0)</f>
        <v>0</v>
      </c>
      <c r="BH270" s="82">
        <f>IF($U$270="sníž. přenesena",$N$270,0)</f>
        <v>0</v>
      </c>
      <c r="BI270" s="82">
        <f>IF($U$270="nulová",$N$270,0)</f>
        <v>0</v>
      </c>
      <c r="BJ270" s="6" t="s">
        <v>103</v>
      </c>
    </row>
    <row r="271" spans="2:62" s="6" customFormat="1" ht="15.75" customHeight="1">
      <c r="B271" s="22"/>
      <c r="C271" s="127" t="s">
        <v>530</v>
      </c>
      <c r="D271" s="127" t="s">
        <v>173</v>
      </c>
      <c r="E271" s="128" t="s">
        <v>531</v>
      </c>
      <c r="F271" s="210" t="s">
        <v>532</v>
      </c>
      <c r="G271" s="211"/>
      <c r="H271" s="211"/>
      <c r="I271" s="211"/>
      <c r="J271" s="129" t="s">
        <v>176</v>
      </c>
      <c r="K271" s="130">
        <v>370</v>
      </c>
      <c r="L271" s="212">
        <v>0</v>
      </c>
      <c r="M271" s="211"/>
      <c r="N271" s="213">
        <f>ROUND($L$271*$K$271,2)</f>
        <v>0</v>
      </c>
      <c r="O271" s="211"/>
      <c r="P271" s="211"/>
      <c r="Q271" s="211"/>
      <c r="R271" s="24"/>
      <c r="T271" s="131"/>
      <c r="U271" s="30" t="s">
        <v>40</v>
      </c>
      <c r="V271" s="132">
        <v>0.31</v>
      </c>
      <c r="W271" s="132">
        <f>$V$271*$K$271</f>
        <v>114.7</v>
      </c>
      <c r="X271" s="132">
        <v>4E-05</v>
      </c>
      <c r="Y271" s="132">
        <f>$X$271*$K$271</f>
        <v>0.0148</v>
      </c>
      <c r="Z271" s="132">
        <v>0</v>
      </c>
      <c r="AA271" s="133">
        <f>$Z$271*$K$271</f>
        <v>0</v>
      </c>
      <c r="AR271" s="6" t="s">
        <v>218</v>
      </c>
      <c r="AT271" s="6" t="s">
        <v>173</v>
      </c>
      <c r="AU271" s="6" t="s">
        <v>103</v>
      </c>
      <c r="AY271" s="6" t="s">
        <v>172</v>
      </c>
      <c r="BE271" s="82">
        <f>IF($U$271="základní",$N$271,0)</f>
        <v>0</v>
      </c>
      <c r="BF271" s="82">
        <f>IF($U$271="snížená",$N$271,0)</f>
        <v>0</v>
      </c>
      <c r="BG271" s="82">
        <f>IF($U$271="zákl. přenesena",$N$271,0)</f>
        <v>0</v>
      </c>
      <c r="BH271" s="82">
        <f>IF($U$271="sníž. přenesena",$N$271,0)</f>
        <v>0</v>
      </c>
      <c r="BI271" s="82">
        <f>IF($U$271="nulová",$N$271,0)</f>
        <v>0</v>
      </c>
      <c r="BJ271" s="6" t="s">
        <v>103</v>
      </c>
    </row>
    <row r="272" spans="2:62" s="6" customFormat="1" ht="27" customHeight="1">
      <c r="B272" s="22"/>
      <c r="C272" s="134" t="s">
        <v>533</v>
      </c>
      <c r="D272" s="134" t="s">
        <v>201</v>
      </c>
      <c r="E272" s="135" t="s">
        <v>534</v>
      </c>
      <c r="F272" s="214" t="s">
        <v>535</v>
      </c>
      <c r="G272" s="215"/>
      <c r="H272" s="215"/>
      <c r="I272" s="215"/>
      <c r="J272" s="136" t="s">
        <v>475</v>
      </c>
      <c r="K272" s="137">
        <v>873.2</v>
      </c>
      <c r="L272" s="216">
        <v>0</v>
      </c>
      <c r="M272" s="215"/>
      <c r="N272" s="217">
        <f>ROUND($L$272*$K$272,2)</f>
        <v>0</v>
      </c>
      <c r="O272" s="211"/>
      <c r="P272" s="211"/>
      <c r="Q272" s="211"/>
      <c r="R272" s="24"/>
      <c r="T272" s="131"/>
      <c r="U272" s="30" t="s">
        <v>40</v>
      </c>
      <c r="V272" s="132">
        <v>0</v>
      </c>
      <c r="W272" s="132">
        <f>$V$272*$K$272</f>
        <v>0</v>
      </c>
      <c r="X272" s="132">
        <v>0.001</v>
      </c>
      <c r="Y272" s="132">
        <f>$X$272*$K$272</f>
        <v>0.8732000000000001</v>
      </c>
      <c r="Z272" s="132">
        <v>0</v>
      </c>
      <c r="AA272" s="133">
        <f>$Z$272*$K$272</f>
        <v>0</v>
      </c>
      <c r="AR272" s="6" t="s">
        <v>267</v>
      </c>
      <c r="AT272" s="6" t="s">
        <v>201</v>
      </c>
      <c r="AU272" s="6" t="s">
        <v>103</v>
      </c>
      <c r="AY272" s="6" t="s">
        <v>172</v>
      </c>
      <c r="BE272" s="82">
        <f>IF($U$272="základní",$N$272,0)</f>
        <v>0</v>
      </c>
      <c r="BF272" s="82">
        <f>IF($U$272="snížená",$N$272,0)</f>
        <v>0</v>
      </c>
      <c r="BG272" s="82">
        <f>IF($U$272="zákl. přenesena",$N$272,0)</f>
        <v>0</v>
      </c>
      <c r="BH272" s="82">
        <f>IF($U$272="sníž. přenesena",$N$272,0)</f>
        <v>0</v>
      </c>
      <c r="BI272" s="82">
        <f>IF($U$272="nulová",$N$272,0)</f>
        <v>0</v>
      </c>
      <c r="BJ272" s="6" t="s">
        <v>103</v>
      </c>
    </row>
    <row r="273" spans="2:62" s="6" customFormat="1" ht="15.75" customHeight="1">
      <c r="B273" s="22"/>
      <c r="C273" s="127" t="s">
        <v>536</v>
      </c>
      <c r="D273" s="127" t="s">
        <v>173</v>
      </c>
      <c r="E273" s="128" t="s">
        <v>537</v>
      </c>
      <c r="F273" s="210" t="s">
        <v>538</v>
      </c>
      <c r="G273" s="211"/>
      <c r="H273" s="211"/>
      <c r="I273" s="211"/>
      <c r="J273" s="129" t="s">
        <v>247</v>
      </c>
      <c r="K273" s="130">
        <v>12</v>
      </c>
      <c r="L273" s="212">
        <v>0</v>
      </c>
      <c r="M273" s="211"/>
      <c r="N273" s="213">
        <f>ROUND($L$273*$K$273,2)</f>
        <v>0</v>
      </c>
      <c r="O273" s="211"/>
      <c r="P273" s="211"/>
      <c r="Q273" s="211"/>
      <c r="R273" s="24"/>
      <c r="T273" s="131"/>
      <c r="U273" s="30" t="s">
        <v>40</v>
      </c>
      <c r="V273" s="132">
        <v>0.137</v>
      </c>
      <c r="W273" s="132">
        <f>$V$273*$K$273</f>
        <v>1.6440000000000001</v>
      </c>
      <c r="X273" s="132">
        <v>0.0018</v>
      </c>
      <c r="Y273" s="132">
        <f>$X$273*$K$273</f>
        <v>0.0216</v>
      </c>
      <c r="Z273" s="132">
        <v>0</v>
      </c>
      <c r="AA273" s="133">
        <f>$Z$273*$K$273</f>
        <v>0</v>
      </c>
      <c r="AR273" s="6" t="s">
        <v>218</v>
      </c>
      <c r="AT273" s="6" t="s">
        <v>173</v>
      </c>
      <c r="AU273" s="6" t="s">
        <v>103</v>
      </c>
      <c r="AY273" s="6" t="s">
        <v>172</v>
      </c>
      <c r="BE273" s="82">
        <f>IF($U$273="základní",$N$273,0)</f>
        <v>0</v>
      </c>
      <c r="BF273" s="82">
        <f>IF($U$273="snížená",$N$273,0)</f>
        <v>0</v>
      </c>
      <c r="BG273" s="82">
        <f>IF($U$273="zákl. přenesena",$N$273,0)</f>
        <v>0</v>
      </c>
      <c r="BH273" s="82">
        <f>IF($U$273="sníž. přenesena",$N$273,0)</f>
        <v>0</v>
      </c>
      <c r="BI273" s="82">
        <f>IF($U$273="nulová",$N$273,0)</f>
        <v>0</v>
      </c>
      <c r="BJ273" s="6" t="s">
        <v>103</v>
      </c>
    </row>
    <row r="274" spans="2:62" s="6" customFormat="1" ht="15.75" customHeight="1">
      <c r="B274" s="22"/>
      <c r="C274" s="127" t="s">
        <v>539</v>
      </c>
      <c r="D274" s="127" t="s">
        <v>173</v>
      </c>
      <c r="E274" s="128" t="s">
        <v>540</v>
      </c>
      <c r="F274" s="210" t="s">
        <v>541</v>
      </c>
      <c r="G274" s="211"/>
      <c r="H274" s="211"/>
      <c r="I274" s="211"/>
      <c r="J274" s="129" t="s">
        <v>247</v>
      </c>
      <c r="K274" s="130">
        <v>7</v>
      </c>
      <c r="L274" s="212">
        <v>0</v>
      </c>
      <c r="M274" s="211"/>
      <c r="N274" s="213">
        <f>ROUND($L$274*$K$274,2)</f>
        <v>0</v>
      </c>
      <c r="O274" s="211"/>
      <c r="P274" s="211"/>
      <c r="Q274" s="211"/>
      <c r="R274" s="24"/>
      <c r="T274" s="131"/>
      <c r="U274" s="30" t="s">
        <v>40</v>
      </c>
      <c r="V274" s="132">
        <v>0.151</v>
      </c>
      <c r="W274" s="132">
        <f>$V$274*$K$274</f>
        <v>1.057</v>
      </c>
      <c r="X274" s="132">
        <v>0.00073</v>
      </c>
      <c r="Y274" s="132">
        <f>$X$274*$K$274</f>
        <v>0.00511</v>
      </c>
      <c r="Z274" s="132">
        <v>0</v>
      </c>
      <c r="AA274" s="133">
        <f>$Z$274*$K$274</f>
        <v>0</v>
      </c>
      <c r="AR274" s="6" t="s">
        <v>218</v>
      </c>
      <c r="AT274" s="6" t="s">
        <v>173</v>
      </c>
      <c r="AU274" s="6" t="s">
        <v>103</v>
      </c>
      <c r="AY274" s="6" t="s">
        <v>172</v>
      </c>
      <c r="BE274" s="82">
        <f>IF($U$274="základní",$N$274,0)</f>
        <v>0</v>
      </c>
      <c r="BF274" s="82">
        <f>IF($U$274="snížená",$N$274,0)</f>
        <v>0</v>
      </c>
      <c r="BG274" s="82">
        <f>IF($U$274="zákl. přenesena",$N$274,0)</f>
        <v>0</v>
      </c>
      <c r="BH274" s="82">
        <f>IF($U$274="sníž. přenesena",$N$274,0)</f>
        <v>0</v>
      </c>
      <c r="BI274" s="82">
        <f>IF($U$274="nulová",$N$274,0)</f>
        <v>0</v>
      </c>
      <c r="BJ274" s="6" t="s">
        <v>103</v>
      </c>
    </row>
    <row r="275" spans="2:62" s="6" customFormat="1" ht="15.75" customHeight="1">
      <c r="B275" s="22"/>
      <c r="C275" s="127" t="s">
        <v>542</v>
      </c>
      <c r="D275" s="127" t="s">
        <v>173</v>
      </c>
      <c r="E275" s="128" t="s">
        <v>543</v>
      </c>
      <c r="F275" s="210" t="s">
        <v>544</v>
      </c>
      <c r="G275" s="211"/>
      <c r="H275" s="211"/>
      <c r="I275" s="211"/>
      <c r="J275" s="129" t="s">
        <v>247</v>
      </c>
      <c r="K275" s="130">
        <v>35</v>
      </c>
      <c r="L275" s="212">
        <v>0</v>
      </c>
      <c r="M275" s="211"/>
      <c r="N275" s="213">
        <f>ROUND($L$275*$K$275,2)</f>
        <v>0</v>
      </c>
      <c r="O275" s="211"/>
      <c r="P275" s="211"/>
      <c r="Q275" s="211"/>
      <c r="R275" s="24"/>
      <c r="T275" s="131"/>
      <c r="U275" s="30" t="s">
        <v>40</v>
      </c>
      <c r="V275" s="132">
        <v>0.176</v>
      </c>
      <c r="W275" s="132">
        <f>$V$275*$K$275</f>
        <v>6.159999999999999</v>
      </c>
      <c r="X275" s="132">
        <v>0.0011</v>
      </c>
      <c r="Y275" s="132">
        <f>$X$275*$K$275</f>
        <v>0.0385</v>
      </c>
      <c r="Z275" s="132">
        <v>0</v>
      </c>
      <c r="AA275" s="133">
        <f>$Z$275*$K$275</f>
        <v>0</v>
      </c>
      <c r="AR275" s="6" t="s">
        <v>218</v>
      </c>
      <c r="AT275" s="6" t="s">
        <v>173</v>
      </c>
      <c r="AU275" s="6" t="s">
        <v>103</v>
      </c>
      <c r="AY275" s="6" t="s">
        <v>172</v>
      </c>
      <c r="BE275" s="82">
        <f>IF($U$275="základní",$N$275,0)</f>
        <v>0</v>
      </c>
      <c r="BF275" s="82">
        <f>IF($U$275="snížená",$N$275,0)</f>
        <v>0</v>
      </c>
      <c r="BG275" s="82">
        <f>IF($U$275="zákl. přenesena",$N$275,0)</f>
        <v>0</v>
      </c>
      <c r="BH275" s="82">
        <f>IF($U$275="sníž. přenesena",$N$275,0)</f>
        <v>0</v>
      </c>
      <c r="BI275" s="82">
        <f>IF($U$275="nulová",$N$275,0)</f>
        <v>0</v>
      </c>
      <c r="BJ275" s="6" t="s">
        <v>103</v>
      </c>
    </row>
    <row r="276" spans="2:62" s="6" customFormat="1" ht="15.75" customHeight="1">
      <c r="B276" s="22"/>
      <c r="C276" s="127" t="s">
        <v>545</v>
      </c>
      <c r="D276" s="127" t="s">
        <v>173</v>
      </c>
      <c r="E276" s="128" t="s">
        <v>546</v>
      </c>
      <c r="F276" s="210" t="s">
        <v>547</v>
      </c>
      <c r="G276" s="211"/>
      <c r="H276" s="211"/>
      <c r="I276" s="211"/>
      <c r="J276" s="129" t="s">
        <v>247</v>
      </c>
      <c r="K276" s="130">
        <v>12</v>
      </c>
      <c r="L276" s="212">
        <v>0</v>
      </c>
      <c r="M276" s="211"/>
      <c r="N276" s="213">
        <f>ROUND($L$276*$K$276,2)</f>
        <v>0</v>
      </c>
      <c r="O276" s="211"/>
      <c r="P276" s="211"/>
      <c r="Q276" s="211"/>
      <c r="R276" s="24"/>
      <c r="T276" s="131"/>
      <c r="U276" s="30" t="s">
        <v>40</v>
      </c>
      <c r="V276" s="132">
        <v>0.188</v>
      </c>
      <c r="W276" s="132">
        <f>$V$276*$K$276</f>
        <v>2.2560000000000002</v>
      </c>
      <c r="X276" s="132">
        <v>0.00145</v>
      </c>
      <c r="Y276" s="132">
        <f>$X$276*$K$276</f>
        <v>0.0174</v>
      </c>
      <c r="Z276" s="132">
        <v>0</v>
      </c>
      <c r="AA276" s="133">
        <f>$Z$276*$K$276</f>
        <v>0</v>
      </c>
      <c r="AR276" s="6" t="s">
        <v>218</v>
      </c>
      <c r="AT276" s="6" t="s">
        <v>173</v>
      </c>
      <c r="AU276" s="6" t="s">
        <v>103</v>
      </c>
      <c r="AY276" s="6" t="s">
        <v>172</v>
      </c>
      <c r="BE276" s="82">
        <f>IF($U$276="základní",$N$276,0)</f>
        <v>0</v>
      </c>
      <c r="BF276" s="82">
        <f>IF($U$276="snížená",$N$276,0)</f>
        <v>0</v>
      </c>
      <c r="BG276" s="82">
        <f>IF($U$276="zákl. přenesena",$N$276,0)</f>
        <v>0</v>
      </c>
      <c r="BH276" s="82">
        <f>IF($U$276="sníž. přenesena",$N$276,0)</f>
        <v>0</v>
      </c>
      <c r="BI276" s="82">
        <f>IF($U$276="nulová",$N$276,0)</f>
        <v>0</v>
      </c>
      <c r="BJ276" s="6" t="s">
        <v>103</v>
      </c>
    </row>
    <row r="277" spans="2:62" s="6" customFormat="1" ht="27" customHeight="1">
      <c r="B277" s="22"/>
      <c r="C277" s="127" t="s">
        <v>548</v>
      </c>
      <c r="D277" s="127" t="s">
        <v>173</v>
      </c>
      <c r="E277" s="128" t="s">
        <v>549</v>
      </c>
      <c r="F277" s="210" t="s">
        <v>550</v>
      </c>
      <c r="G277" s="211"/>
      <c r="H277" s="211"/>
      <c r="I277" s="211"/>
      <c r="J277" s="129" t="s">
        <v>176</v>
      </c>
      <c r="K277" s="130">
        <v>5</v>
      </c>
      <c r="L277" s="212">
        <v>0</v>
      </c>
      <c r="M277" s="211"/>
      <c r="N277" s="213">
        <f>ROUND($L$277*$K$277,2)</f>
        <v>0</v>
      </c>
      <c r="O277" s="211"/>
      <c r="P277" s="211"/>
      <c r="Q277" s="211"/>
      <c r="R277" s="24"/>
      <c r="T277" s="131"/>
      <c r="U277" s="30" t="s">
        <v>40</v>
      </c>
      <c r="V277" s="132">
        <v>1.375</v>
      </c>
      <c r="W277" s="132">
        <f>$V$277*$K$277</f>
        <v>6.875</v>
      </c>
      <c r="X277" s="132">
        <v>0</v>
      </c>
      <c r="Y277" s="132">
        <f>$X$277*$K$277</f>
        <v>0</v>
      </c>
      <c r="Z277" s="132">
        <v>0.00721</v>
      </c>
      <c r="AA277" s="133">
        <f>$Z$277*$K$277</f>
        <v>0.03605</v>
      </c>
      <c r="AR277" s="6" t="s">
        <v>218</v>
      </c>
      <c r="AT277" s="6" t="s">
        <v>173</v>
      </c>
      <c r="AU277" s="6" t="s">
        <v>103</v>
      </c>
      <c r="AY277" s="6" t="s">
        <v>172</v>
      </c>
      <c r="BE277" s="82">
        <f>IF($U$277="základní",$N$277,0)</f>
        <v>0</v>
      </c>
      <c r="BF277" s="82">
        <f>IF($U$277="snížená",$N$277,0)</f>
        <v>0</v>
      </c>
      <c r="BG277" s="82">
        <f>IF($U$277="zákl. přenesena",$N$277,0)</f>
        <v>0</v>
      </c>
      <c r="BH277" s="82">
        <f>IF($U$277="sníž. přenesena",$N$277,0)</f>
        <v>0</v>
      </c>
      <c r="BI277" s="82">
        <f>IF($U$277="nulová",$N$277,0)</f>
        <v>0</v>
      </c>
      <c r="BJ277" s="6" t="s">
        <v>103</v>
      </c>
    </row>
    <row r="278" spans="2:62" s="6" customFormat="1" ht="15.75" customHeight="1">
      <c r="B278" s="22"/>
      <c r="C278" s="127" t="s">
        <v>551</v>
      </c>
      <c r="D278" s="127" t="s">
        <v>173</v>
      </c>
      <c r="E278" s="128" t="s">
        <v>552</v>
      </c>
      <c r="F278" s="210" t="s">
        <v>553</v>
      </c>
      <c r="G278" s="211"/>
      <c r="H278" s="211"/>
      <c r="I278" s="211"/>
      <c r="J278" s="129" t="s">
        <v>260</v>
      </c>
      <c r="K278" s="130">
        <v>40</v>
      </c>
      <c r="L278" s="212">
        <v>0</v>
      </c>
      <c r="M278" s="211"/>
      <c r="N278" s="213">
        <f>ROUND($L$278*$K$278,2)</f>
        <v>0</v>
      </c>
      <c r="O278" s="211"/>
      <c r="P278" s="211"/>
      <c r="Q278" s="211"/>
      <c r="R278" s="24"/>
      <c r="T278" s="131"/>
      <c r="U278" s="30" t="s">
        <v>40</v>
      </c>
      <c r="V278" s="132">
        <v>0.377</v>
      </c>
      <c r="W278" s="132">
        <f>$V$278*$K$278</f>
        <v>15.08</v>
      </c>
      <c r="X278" s="132">
        <v>0.00485</v>
      </c>
      <c r="Y278" s="132">
        <f>$X$278*$K$278</f>
        <v>0.194</v>
      </c>
      <c r="Z278" s="132">
        <v>0</v>
      </c>
      <c r="AA278" s="133">
        <f>$Z$278*$K$278</f>
        <v>0</v>
      </c>
      <c r="AR278" s="6" t="s">
        <v>218</v>
      </c>
      <c r="AT278" s="6" t="s">
        <v>173</v>
      </c>
      <c r="AU278" s="6" t="s">
        <v>103</v>
      </c>
      <c r="AY278" s="6" t="s">
        <v>172</v>
      </c>
      <c r="BE278" s="82">
        <f>IF($U$278="základní",$N$278,0)</f>
        <v>0</v>
      </c>
      <c r="BF278" s="82">
        <f>IF($U$278="snížená",$N$278,0)</f>
        <v>0</v>
      </c>
      <c r="BG278" s="82">
        <f>IF($U$278="zákl. přenesena",$N$278,0)</f>
        <v>0</v>
      </c>
      <c r="BH278" s="82">
        <f>IF($U$278="sníž. přenesena",$N$278,0)</f>
        <v>0</v>
      </c>
      <c r="BI278" s="82">
        <f>IF($U$278="nulová",$N$278,0)</f>
        <v>0</v>
      </c>
      <c r="BJ278" s="6" t="s">
        <v>103</v>
      </c>
    </row>
    <row r="279" spans="2:62" s="6" customFormat="1" ht="15.75" customHeight="1">
      <c r="B279" s="22"/>
      <c r="C279" s="127" t="s">
        <v>554</v>
      </c>
      <c r="D279" s="127" t="s">
        <v>173</v>
      </c>
      <c r="E279" s="128" t="s">
        <v>555</v>
      </c>
      <c r="F279" s="210" t="s">
        <v>556</v>
      </c>
      <c r="G279" s="211"/>
      <c r="H279" s="211"/>
      <c r="I279" s="211"/>
      <c r="J279" s="129" t="s">
        <v>247</v>
      </c>
      <c r="K279" s="130">
        <v>35</v>
      </c>
      <c r="L279" s="212">
        <v>0</v>
      </c>
      <c r="M279" s="211"/>
      <c r="N279" s="213">
        <f>ROUND($L$279*$K$279,2)</f>
        <v>0</v>
      </c>
      <c r="O279" s="211"/>
      <c r="P279" s="211"/>
      <c r="Q279" s="211"/>
      <c r="R279" s="24"/>
      <c r="T279" s="131"/>
      <c r="U279" s="30" t="s">
        <v>40</v>
      </c>
      <c r="V279" s="132">
        <v>0.52</v>
      </c>
      <c r="W279" s="132">
        <f>$V$279*$K$279</f>
        <v>18.2</v>
      </c>
      <c r="X279" s="132">
        <v>0.00554</v>
      </c>
      <c r="Y279" s="132">
        <f>$X$279*$K$279</f>
        <v>0.1939</v>
      </c>
      <c r="Z279" s="132">
        <v>0</v>
      </c>
      <c r="AA279" s="133">
        <f>$Z$279*$K$279</f>
        <v>0</v>
      </c>
      <c r="AR279" s="6" t="s">
        <v>218</v>
      </c>
      <c r="AT279" s="6" t="s">
        <v>173</v>
      </c>
      <c r="AU279" s="6" t="s">
        <v>103</v>
      </c>
      <c r="AY279" s="6" t="s">
        <v>172</v>
      </c>
      <c r="BE279" s="82">
        <f>IF($U$279="základní",$N$279,0)</f>
        <v>0</v>
      </c>
      <c r="BF279" s="82">
        <f>IF($U$279="snížená",$N$279,0)</f>
        <v>0</v>
      </c>
      <c r="BG279" s="82">
        <f>IF($U$279="zákl. přenesena",$N$279,0)</f>
        <v>0</v>
      </c>
      <c r="BH279" s="82">
        <f>IF($U$279="sníž. přenesena",$N$279,0)</f>
        <v>0</v>
      </c>
      <c r="BI279" s="82">
        <f>IF($U$279="nulová",$N$279,0)</f>
        <v>0</v>
      </c>
      <c r="BJ279" s="6" t="s">
        <v>103</v>
      </c>
    </row>
    <row r="280" spans="2:62" s="6" customFormat="1" ht="15.75" customHeight="1">
      <c r="B280" s="22"/>
      <c r="C280" s="127" t="s">
        <v>557</v>
      </c>
      <c r="D280" s="127" t="s">
        <v>173</v>
      </c>
      <c r="E280" s="128" t="s">
        <v>558</v>
      </c>
      <c r="F280" s="210" t="s">
        <v>559</v>
      </c>
      <c r="G280" s="211"/>
      <c r="H280" s="211"/>
      <c r="I280" s="211"/>
      <c r="J280" s="129" t="s">
        <v>260</v>
      </c>
      <c r="K280" s="130">
        <v>4</v>
      </c>
      <c r="L280" s="212">
        <v>0</v>
      </c>
      <c r="M280" s="211"/>
      <c r="N280" s="213">
        <f>ROUND($L$280*$K$280,2)</f>
        <v>0</v>
      </c>
      <c r="O280" s="211"/>
      <c r="P280" s="211"/>
      <c r="Q280" s="211"/>
      <c r="R280" s="24"/>
      <c r="T280" s="131"/>
      <c r="U280" s="30" t="s">
        <v>40</v>
      </c>
      <c r="V280" s="132">
        <v>0.378</v>
      </c>
      <c r="W280" s="132">
        <f>$V$280*$K$280</f>
        <v>1.512</v>
      </c>
      <c r="X280" s="132">
        <v>0</v>
      </c>
      <c r="Y280" s="132">
        <f>$X$280*$K$280</f>
        <v>0</v>
      </c>
      <c r="Z280" s="132">
        <v>0.02008</v>
      </c>
      <c r="AA280" s="133">
        <f>$Z$280*$K$280</f>
        <v>0.08032</v>
      </c>
      <c r="AR280" s="6" t="s">
        <v>218</v>
      </c>
      <c r="AT280" s="6" t="s">
        <v>173</v>
      </c>
      <c r="AU280" s="6" t="s">
        <v>103</v>
      </c>
      <c r="AY280" s="6" t="s">
        <v>172</v>
      </c>
      <c r="BE280" s="82">
        <f>IF($U$280="základní",$N$280,0)</f>
        <v>0</v>
      </c>
      <c r="BF280" s="82">
        <f>IF($U$280="snížená",$N$280,0)</f>
        <v>0</v>
      </c>
      <c r="BG280" s="82">
        <f>IF($U$280="zákl. přenesena",$N$280,0)</f>
        <v>0</v>
      </c>
      <c r="BH280" s="82">
        <f>IF($U$280="sníž. přenesena",$N$280,0)</f>
        <v>0</v>
      </c>
      <c r="BI280" s="82">
        <f>IF($U$280="nulová",$N$280,0)</f>
        <v>0</v>
      </c>
      <c r="BJ280" s="6" t="s">
        <v>103</v>
      </c>
    </row>
    <row r="281" spans="2:62" s="6" customFormat="1" ht="15.75" customHeight="1">
      <c r="B281" s="22"/>
      <c r="C281" s="127" t="s">
        <v>560</v>
      </c>
      <c r="D281" s="127" t="s">
        <v>173</v>
      </c>
      <c r="E281" s="128" t="s">
        <v>561</v>
      </c>
      <c r="F281" s="210" t="s">
        <v>562</v>
      </c>
      <c r="G281" s="211"/>
      <c r="H281" s="211"/>
      <c r="I281" s="211"/>
      <c r="J281" s="129" t="s">
        <v>247</v>
      </c>
      <c r="K281" s="130">
        <v>40</v>
      </c>
      <c r="L281" s="212">
        <v>0</v>
      </c>
      <c r="M281" s="211"/>
      <c r="N281" s="213">
        <f>ROUND($L$281*$K$281,2)</f>
        <v>0</v>
      </c>
      <c r="O281" s="211"/>
      <c r="P281" s="211"/>
      <c r="Q281" s="211"/>
      <c r="R281" s="24"/>
      <c r="T281" s="131"/>
      <c r="U281" s="30" t="s">
        <v>40</v>
      </c>
      <c r="V281" s="132">
        <v>0.063</v>
      </c>
      <c r="W281" s="132">
        <f>$V$281*$K$281</f>
        <v>2.52</v>
      </c>
      <c r="X281" s="132">
        <v>0</v>
      </c>
      <c r="Y281" s="132">
        <f>$X$281*$K$281</f>
        <v>0</v>
      </c>
      <c r="Z281" s="132">
        <v>0.00377</v>
      </c>
      <c r="AA281" s="133">
        <f>$Z$281*$K$281</f>
        <v>0.1508</v>
      </c>
      <c r="AR281" s="6" t="s">
        <v>218</v>
      </c>
      <c r="AT281" s="6" t="s">
        <v>173</v>
      </c>
      <c r="AU281" s="6" t="s">
        <v>103</v>
      </c>
      <c r="AY281" s="6" t="s">
        <v>172</v>
      </c>
      <c r="BE281" s="82">
        <f>IF($U$281="základní",$N$281,0)</f>
        <v>0</v>
      </c>
      <c r="BF281" s="82">
        <f>IF($U$281="snížená",$N$281,0)</f>
        <v>0</v>
      </c>
      <c r="BG281" s="82">
        <f>IF($U$281="zákl. přenesena",$N$281,0)</f>
        <v>0</v>
      </c>
      <c r="BH281" s="82">
        <f>IF($U$281="sníž. přenesena",$N$281,0)</f>
        <v>0</v>
      </c>
      <c r="BI281" s="82">
        <f>IF($U$281="nulová",$N$281,0)</f>
        <v>0</v>
      </c>
      <c r="BJ281" s="6" t="s">
        <v>103</v>
      </c>
    </row>
    <row r="282" spans="2:62" s="6" customFormat="1" ht="15.75" customHeight="1">
      <c r="B282" s="22"/>
      <c r="C282" s="127" t="s">
        <v>563</v>
      </c>
      <c r="D282" s="127" t="s">
        <v>173</v>
      </c>
      <c r="E282" s="128" t="s">
        <v>564</v>
      </c>
      <c r="F282" s="210" t="s">
        <v>565</v>
      </c>
      <c r="G282" s="211"/>
      <c r="H282" s="211"/>
      <c r="I282" s="211"/>
      <c r="J282" s="129" t="s">
        <v>247</v>
      </c>
      <c r="K282" s="130">
        <v>36</v>
      </c>
      <c r="L282" s="212">
        <v>0</v>
      </c>
      <c r="M282" s="211"/>
      <c r="N282" s="213">
        <f>ROUND($L$282*$K$282,2)</f>
        <v>0</v>
      </c>
      <c r="O282" s="211"/>
      <c r="P282" s="211"/>
      <c r="Q282" s="211"/>
      <c r="R282" s="24"/>
      <c r="T282" s="131"/>
      <c r="U282" s="30" t="s">
        <v>40</v>
      </c>
      <c r="V282" s="132">
        <v>0.26</v>
      </c>
      <c r="W282" s="132">
        <f>$V$282*$K$282</f>
        <v>9.36</v>
      </c>
      <c r="X282" s="132">
        <v>0.00223</v>
      </c>
      <c r="Y282" s="132">
        <f>$X$282*$K$282</f>
        <v>0.08028</v>
      </c>
      <c r="Z282" s="132">
        <v>0</v>
      </c>
      <c r="AA282" s="133">
        <f>$Z$282*$K$282</f>
        <v>0</v>
      </c>
      <c r="AR282" s="6" t="s">
        <v>218</v>
      </c>
      <c r="AT282" s="6" t="s">
        <v>173</v>
      </c>
      <c r="AU282" s="6" t="s">
        <v>103</v>
      </c>
      <c r="AY282" s="6" t="s">
        <v>172</v>
      </c>
      <c r="BE282" s="82">
        <f>IF($U$282="základní",$N$282,0)</f>
        <v>0</v>
      </c>
      <c r="BF282" s="82">
        <f>IF($U$282="snížená",$N$282,0)</f>
        <v>0</v>
      </c>
      <c r="BG282" s="82">
        <f>IF($U$282="zákl. přenesena",$N$282,0)</f>
        <v>0</v>
      </c>
      <c r="BH282" s="82">
        <f>IF($U$282="sníž. přenesena",$N$282,0)</f>
        <v>0</v>
      </c>
      <c r="BI282" s="82">
        <f>IF($U$282="nulová",$N$282,0)</f>
        <v>0</v>
      </c>
      <c r="BJ282" s="6" t="s">
        <v>103</v>
      </c>
    </row>
    <row r="283" spans="2:62" s="6" customFormat="1" ht="27" customHeight="1">
      <c r="B283" s="22"/>
      <c r="C283" s="127" t="s">
        <v>566</v>
      </c>
      <c r="D283" s="127" t="s">
        <v>173</v>
      </c>
      <c r="E283" s="128" t="s">
        <v>567</v>
      </c>
      <c r="F283" s="210" t="s">
        <v>568</v>
      </c>
      <c r="G283" s="211"/>
      <c r="H283" s="211"/>
      <c r="I283" s="211"/>
      <c r="J283" s="129" t="s">
        <v>247</v>
      </c>
      <c r="K283" s="130">
        <v>17.5</v>
      </c>
      <c r="L283" s="212">
        <v>0</v>
      </c>
      <c r="M283" s="211"/>
      <c r="N283" s="213">
        <f>ROUND($L$283*$K$283,2)</f>
        <v>0</v>
      </c>
      <c r="O283" s="211"/>
      <c r="P283" s="211"/>
      <c r="Q283" s="211"/>
      <c r="R283" s="24"/>
      <c r="T283" s="131"/>
      <c r="U283" s="30" t="s">
        <v>40</v>
      </c>
      <c r="V283" s="132">
        <v>0.262</v>
      </c>
      <c r="W283" s="132">
        <f>$V$283*$K$283</f>
        <v>4.585</v>
      </c>
      <c r="X283" s="132">
        <v>0.00116</v>
      </c>
      <c r="Y283" s="132">
        <f>$X$283*$K$283</f>
        <v>0.0203</v>
      </c>
      <c r="Z283" s="132">
        <v>0</v>
      </c>
      <c r="AA283" s="133">
        <f>$Z$283*$K$283</f>
        <v>0</v>
      </c>
      <c r="AR283" s="6" t="s">
        <v>218</v>
      </c>
      <c r="AT283" s="6" t="s">
        <v>173</v>
      </c>
      <c r="AU283" s="6" t="s">
        <v>103</v>
      </c>
      <c r="AY283" s="6" t="s">
        <v>172</v>
      </c>
      <c r="BE283" s="82">
        <f>IF($U$283="základní",$N$283,0)</f>
        <v>0</v>
      </c>
      <c r="BF283" s="82">
        <f>IF($U$283="snížená",$N$283,0)</f>
        <v>0</v>
      </c>
      <c r="BG283" s="82">
        <f>IF($U$283="zákl. přenesena",$N$283,0)</f>
        <v>0</v>
      </c>
      <c r="BH283" s="82">
        <f>IF($U$283="sníž. přenesena",$N$283,0)</f>
        <v>0</v>
      </c>
      <c r="BI283" s="82">
        <f>IF($U$283="nulová",$N$283,0)</f>
        <v>0</v>
      </c>
      <c r="BJ283" s="6" t="s">
        <v>103</v>
      </c>
    </row>
    <row r="284" spans="2:62" s="6" customFormat="1" ht="27" customHeight="1">
      <c r="B284" s="22"/>
      <c r="C284" s="127" t="s">
        <v>569</v>
      </c>
      <c r="D284" s="127" t="s">
        <v>173</v>
      </c>
      <c r="E284" s="128" t="s">
        <v>570</v>
      </c>
      <c r="F284" s="210" t="s">
        <v>571</v>
      </c>
      <c r="G284" s="211"/>
      <c r="H284" s="211"/>
      <c r="I284" s="211"/>
      <c r="J284" s="129" t="s">
        <v>247</v>
      </c>
      <c r="K284" s="130">
        <v>59.8</v>
      </c>
      <c r="L284" s="212">
        <v>0</v>
      </c>
      <c r="M284" s="211"/>
      <c r="N284" s="213">
        <f>ROUND($L$284*$K$284,2)</f>
        <v>0</v>
      </c>
      <c r="O284" s="211"/>
      <c r="P284" s="211"/>
      <c r="Q284" s="211"/>
      <c r="R284" s="24"/>
      <c r="T284" s="131"/>
      <c r="U284" s="30" t="s">
        <v>40</v>
      </c>
      <c r="V284" s="132">
        <v>0.288</v>
      </c>
      <c r="W284" s="132">
        <f>$V$284*$K$284</f>
        <v>17.222399999999997</v>
      </c>
      <c r="X284" s="132">
        <v>0.00189</v>
      </c>
      <c r="Y284" s="132">
        <f>$X$284*$K$284</f>
        <v>0.113022</v>
      </c>
      <c r="Z284" s="132">
        <v>0</v>
      </c>
      <c r="AA284" s="133">
        <f>$Z$284*$K$284</f>
        <v>0</v>
      </c>
      <c r="AR284" s="6" t="s">
        <v>218</v>
      </c>
      <c r="AT284" s="6" t="s">
        <v>173</v>
      </c>
      <c r="AU284" s="6" t="s">
        <v>103</v>
      </c>
      <c r="AY284" s="6" t="s">
        <v>172</v>
      </c>
      <c r="BE284" s="82">
        <f>IF($U$284="základní",$N$284,0)</f>
        <v>0</v>
      </c>
      <c r="BF284" s="82">
        <f>IF($U$284="snížená",$N$284,0)</f>
        <v>0</v>
      </c>
      <c r="BG284" s="82">
        <f>IF($U$284="zákl. přenesena",$N$284,0)</f>
        <v>0</v>
      </c>
      <c r="BH284" s="82">
        <f>IF($U$284="sníž. přenesena",$N$284,0)</f>
        <v>0</v>
      </c>
      <c r="BI284" s="82">
        <f>IF($U$284="nulová",$N$284,0)</f>
        <v>0</v>
      </c>
      <c r="BJ284" s="6" t="s">
        <v>103</v>
      </c>
    </row>
    <row r="285" spans="2:62" s="6" customFormat="1" ht="15.75" customHeight="1">
      <c r="B285" s="22"/>
      <c r="C285" s="127" t="s">
        <v>572</v>
      </c>
      <c r="D285" s="127" t="s">
        <v>173</v>
      </c>
      <c r="E285" s="128" t="s">
        <v>573</v>
      </c>
      <c r="F285" s="210" t="s">
        <v>574</v>
      </c>
      <c r="G285" s="211"/>
      <c r="H285" s="211"/>
      <c r="I285" s="211"/>
      <c r="J285" s="129" t="s">
        <v>247</v>
      </c>
      <c r="K285" s="130">
        <v>9.6</v>
      </c>
      <c r="L285" s="212">
        <v>0</v>
      </c>
      <c r="M285" s="211"/>
      <c r="N285" s="213">
        <f>ROUND($L$285*$K$285,2)</f>
        <v>0</v>
      </c>
      <c r="O285" s="211"/>
      <c r="P285" s="211"/>
      <c r="Q285" s="211"/>
      <c r="R285" s="24"/>
      <c r="T285" s="131"/>
      <c r="U285" s="30" t="s">
        <v>40</v>
      </c>
      <c r="V285" s="132">
        <v>0.08</v>
      </c>
      <c r="W285" s="132">
        <f>$V$285*$K$285</f>
        <v>0.768</v>
      </c>
      <c r="X285" s="132">
        <v>0</v>
      </c>
      <c r="Y285" s="132">
        <f>$X$285*$K$285</f>
        <v>0</v>
      </c>
      <c r="Z285" s="132">
        <v>0.00135</v>
      </c>
      <c r="AA285" s="133">
        <f>$Z$285*$K$285</f>
        <v>0.012960000000000001</v>
      </c>
      <c r="AR285" s="6" t="s">
        <v>218</v>
      </c>
      <c r="AT285" s="6" t="s">
        <v>173</v>
      </c>
      <c r="AU285" s="6" t="s">
        <v>103</v>
      </c>
      <c r="AY285" s="6" t="s">
        <v>172</v>
      </c>
      <c r="BE285" s="82">
        <f>IF($U$285="základní",$N$285,0)</f>
        <v>0</v>
      </c>
      <c r="BF285" s="82">
        <f>IF($U$285="snížená",$N$285,0)</f>
        <v>0</v>
      </c>
      <c r="BG285" s="82">
        <f>IF($U$285="zákl. přenesena",$N$285,0)</f>
        <v>0</v>
      </c>
      <c r="BH285" s="82">
        <f>IF($U$285="sníž. přenesena",$N$285,0)</f>
        <v>0</v>
      </c>
      <c r="BI285" s="82">
        <f>IF($U$285="nulová",$N$285,0)</f>
        <v>0</v>
      </c>
      <c r="BJ285" s="6" t="s">
        <v>103</v>
      </c>
    </row>
    <row r="286" spans="2:62" s="6" customFormat="1" ht="15.75" customHeight="1">
      <c r="B286" s="22"/>
      <c r="C286" s="127" t="s">
        <v>575</v>
      </c>
      <c r="D286" s="127" t="s">
        <v>173</v>
      </c>
      <c r="E286" s="128" t="s">
        <v>576</v>
      </c>
      <c r="F286" s="210" t="s">
        <v>577</v>
      </c>
      <c r="G286" s="211"/>
      <c r="H286" s="211"/>
      <c r="I286" s="211"/>
      <c r="J286" s="129" t="s">
        <v>247</v>
      </c>
      <c r="K286" s="130">
        <v>55</v>
      </c>
      <c r="L286" s="212">
        <v>0</v>
      </c>
      <c r="M286" s="211"/>
      <c r="N286" s="213">
        <f>ROUND($L$286*$K$286,2)</f>
        <v>0</v>
      </c>
      <c r="O286" s="211"/>
      <c r="P286" s="211"/>
      <c r="Q286" s="211"/>
      <c r="R286" s="24"/>
      <c r="T286" s="131"/>
      <c r="U286" s="30" t="s">
        <v>40</v>
      </c>
      <c r="V286" s="132">
        <v>0.206</v>
      </c>
      <c r="W286" s="132">
        <f>$V$286*$K$286</f>
        <v>11.33</v>
      </c>
      <c r="X286" s="132">
        <v>0.00283</v>
      </c>
      <c r="Y286" s="132">
        <f>$X$286*$K$286</f>
        <v>0.15565</v>
      </c>
      <c r="Z286" s="132">
        <v>0</v>
      </c>
      <c r="AA286" s="133">
        <f>$Z$286*$K$286</f>
        <v>0</v>
      </c>
      <c r="AR286" s="6" t="s">
        <v>218</v>
      </c>
      <c r="AT286" s="6" t="s">
        <v>173</v>
      </c>
      <c r="AU286" s="6" t="s">
        <v>103</v>
      </c>
      <c r="AY286" s="6" t="s">
        <v>172</v>
      </c>
      <c r="BE286" s="82">
        <f>IF($U$286="základní",$N$286,0)</f>
        <v>0</v>
      </c>
      <c r="BF286" s="82">
        <f>IF($U$286="snížená",$N$286,0)</f>
        <v>0</v>
      </c>
      <c r="BG286" s="82">
        <f>IF($U$286="zákl. přenesena",$N$286,0)</f>
        <v>0</v>
      </c>
      <c r="BH286" s="82">
        <f>IF($U$286="sníž. přenesena",$N$286,0)</f>
        <v>0</v>
      </c>
      <c r="BI286" s="82">
        <f>IF($U$286="nulová",$N$286,0)</f>
        <v>0</v>
      </c>
      <c r="BJ286" s="6" t="s">
        <v>103</v>
      </c>
    </row>
    <row r="287" spans="2:62" s="6" customFormat="1" ht="27" customHeight="1">
      <c r="B287" s="22"/>
      <c r="C287" s="127" t="s">
        <v>578</v>
      </c>
      <c r="D287" s="127" t="s">
        <v>173</v>
      </c>
      <c r="E287" s="128" t="s">
        <v>579</v>
      </c>
      <c r="F287" s="210" t="s">
        <v>580</v>
      </c>
      <c r="G287" s="211"/>
      <c r="H287" s="211"/>
      <c r="I287" s="211"/>
      <c r="J287" s="129" t="s">
        <v>247</v>
      </c>
      <c r="K287" s="130">
        <v>8</v>
      </c>
      <c r="L287" s="212">
        <v>0</v>
      </c>
      <c r="M287" s="211"/>
      <c r="N287" s="213">
        <f>ROUND($L$287*$K$287,2)</f>
        <v>0</v>
      </c>
      <c r="O287" s="211"/>
      <c r="P287" s="211"/>
      <c r="Q287" s="211"/>
      <c r="R287" s="24"/>
      <c r="T287" s="131"/>
      <c r="U287" s="30" t="s">
        <v>40</v>
      </c>
      <c r="V287" s="132">
        <v>0.404</v>
      </c>
      <c r="W287" s="132">
        <f>$V$287*$K$287</f>
        <v>3.232</v>
      </c>
      <c r="X287" s="132">
        <v>0.00124</v>
      </c>
      <c r="Y287" s="132">
        <f>$X$287*$K$287</f>
        <v>0.00992</v>
      </c>
      <c r="Z287" s="132">
        <v>0</v>
      </c>
      <c r="AA287" s="133">
        <f>$Z$287*$K$287</f>
        <v>0</v>
      </c>
      <c r="AR287" s="6" t="s">
        <v>218</v>
      </c>
      <c r="AT287" s="6" t="s">
        <v>173</v>
      </c>
      <c r="AU287" s="6" t="s">
        <v>103</v>
      </c>
      <c r="AY287" s="6" t="s">
        <v>172</v>
      </c>
      <c r="BE287" s="82">
        <f>IF($U$287="základní",$N$287,0)</f>
        <v>0</v>
      </c>
      <c r="BF287" s="82">
        <f>IF($U$287="snížená",$N$287,0)</f>
        <v>0</v>
      </c>
      <c r="BG287" s="82">
        <f>IF($U$287="zákl. přenesena",$N$287,0)</f>
        <v>0</v>
      </c>
      <c r="BH287" s="82">
        <f>IF($U$287="sníž. přenesena",$N$287,0)</f>
        <v>0</v>
      </c>
      <c r="BI287" s="82">
        <f>IF($U$287="nulová",$N$287,0)</f>
        <v>0</v>
      </c>
      <c r="BJ287" s="6" t="s">
        <v>103</v>
      </c>
    </row>
    <row r="288" spans="2:62" s="6" customFormat="1" ht="15.75" customHeight="1">
      <c r="B288" s="22"/>
      <c r="C288" s="127" t="s">
        <v>581</v>
      </c>
      <c r="D288" s="127" t="s">
        <v>173</v>
      </c>
      <c r="E288" s="128" t="s">
        <v>582</v>
      </c>
      <c r="F288" s="210" t="s">
        <v>583</v>
      </c>
      <c r="G288" s="211"/>
      <c r="H288" s="211"/>
      <c r="I288" s="211"/>
      <c r="J288" s="129" t="s">
        <v>247</v>
      </c>
      <c r="K288" s="130">
        <v>8</v>
      </c>
      <c r="L288" s="212">
        <v>0</v>
      </c>
      <c r="M288" s="211"/>
      <c r="N288" s="213">
        <f>ROUND($L$288*$K$288,2)</f>
        <v>0</v>
      </c>
      <c r="O288" s="211"/>
      <c r="P288" s="211"/>
      <c r="Q288" s="211"/>
      <c r="R288" s="24"/>
      <c r="T288" s="131"/>
      <c r="U288" s="30" t="s">
        <v>40</v>
      </c>
      <c r="V288" s="132">
        <v>0.452</v>
      </c>
      <c r="W288" s="132">
        <f>$V$288*$K$288</f>
        <v>3.616</v>
      </c>
      <c r="X288" s="132">
        <v>0.00283</v>
      </c>
      <c r="Y288" s="132">
        <f>$X$288*$K$288</f>
        <v>0.02264</v>
      </c>
      <c r="Z288" s="132">
        <v>0</v>
      </c>
      <c r="AA288" s="133">
        <f>$Z$288*$K$288</f>
        <v>0</v>
      </c>
      <c r="AR288" s="6" t="s">
        <v>218</v>
      </c>
      <c r="AT288" s="6" t="s">
        <v>173</v>
      </c>
      <c r="AU288" s="6" t="s">
        <v>103</v>
      </c>
      <c r="AY288" s="6" t="s">
        <v>172</v>
      </c>
      <c r="BE288" s="82">
        <f>IF($U$288="základní",$N$288,0)</f>
        <v>0</v>
      </c>
      <c r="BF288" s="82">
        <f>IF($U$288="snížená",$N$288,0)</f>
        <v>0</v>
      </c>
      <c r="BG288" s="82">
        <f>IF($U$288="zákl. přenesena",$N$288,0)</f>
        <v>0</v>
      </c>
      <c r="BH288" s="82">
        <f>IF($U$288="sníž. přenesena",$N$288,0)</f>
        <v>0</v>
      </c>
      <c r="BI288" s="82">
        <f>IF($U$288="nulová",$N$288,0)</f>
        <v>0</v>
      </c>
      <c r="BJ288" s="6" t="s">
        <v>103</v>
      </c>
    </row>
    <row r="289" spans="2:62" s="6" customFormat="1" ht="27" customHeight="1">
      <c r="B289" s="22"/>
      <c r="C289" s="127" t="s">
        <v>584</v>
      </c>
      <c r="D289" s="127" t="s">
        <v>173</v>
      </c>
      <c r="E289" s="128" t="s">
        <v>585</v>
      </c>
      <c r="F289" s="210" t="s">
        <v>586</v>
      </c>
      <c r="G289" s="211"/>
      <c r="H289" s="211"/>
      <c r="I289" s="211"/>
      <c r="J289" s="129" t="s">
        <v>247</v>
      </c>
      <c r="K289" s="130">
        <v>2.2</v>
      </c>
      <c r="L289" s="212">
        <v>0</v>
      </c>
      <c r="M289" s="211"/>
      <c r="N289" s="213">
        <f>ROUND($L$289*$K$289,2)</f>
        <v>0</v>
      </c>
      <c r="O289" s="211"/>
      <c r="P289" s="211"/>
      <c r="Q289" s="211"/>
      <c r="R289" s="24"/>
      <c r="T289" s="131"/>
      <c r="U289" s="30" t="s">
        <v>40</v>
      </c>
      <c r="V289" s="132">
        <v>0.227</v>
      </c>
      <c r="W289" s="132">
        <f>$V$289*$K$289</f>
        <v>0.49940000000000007</v>
      </c>
      <c r="X289" s="132">
        <v>0.00104</v>
      </c>
      <c r="Y289" s="132">
        <f>$X$289*$K$289</f>
        <v>0.002288</v>
      </c>
      <c r="Z289" s="132">
        <v>0</v>
      </c>
      <c r="AA289" s="133">
        <f>$Z$289*$K$289</f>
        <v>0</v>
      </c>
      <c r="AR289" s="6" t="s">
        <v>218</v>
      </c>
      <c r="AT289" s="6" t="s">
        <v>173</v>
      </c>
      <c r="AU289" s="6" t="s">
        <v>103</v>
      </c>
      <c r="AY289" s="6" t="s">
        <v>172</v>
      </c>
      <c r="BE289" s="82">
        <f>IF($U$289="základní",$N$289,0)</f>
        <v>0</v>
      </c>
      <c r="BF289" s="82">
        <f>IF($U$289="snížená",$N$289,0)</f>
        <v>0</v>
      </c>
      <c r="BG289" s="82">
        <f>IF($U$289="zákl. přenesena",$N$289,0)</f>
        <v>0</v>
      </c>
      <c r="BH289" s="82">
        <f>IF($U$289="sníž. přenesena",$N$289,0)</f>
        <v>0</v>
      </c>
      <c r="BI289" s="82">
        <f>IF($U$289="nulová",$N$289,0)</f>
        <v>0</v>
      </c>
      <c r="BJ289" s="6" t="s">
        <v>103</v>
      </c>
    </row>
    <row r="290" spans="2:62" s="6" customFormat="1" ht="15.75" customHeight="1">
      <c r="B290" s="22"/>
      <c r="C290" s="127" t="s">
        <v>587</v>
      </c>
      <c r="D290" s="127" t="s">
        <v>173</v>
      </c>
      <c r="E290" s="128" t="s">
        <v>588</v>
      </c>
      <c r="F290" s="210" t="s">
        <v>589</v>
      </c>
      <c r="G290" s="211"/>
      <c r="H290" s="211"/>
      <c r="I290" s="211"/>
      <c r="J290" s="129" t="s">
        <v>247</v>
      </c>
      <c r="K290" s="130">
        <v>25</v>
      </c>
      <c r="L290" s="212">
        <v>0</v>
      </c>
      <c r="M290" s="211"/>
      <c r="N290" s="213">
        <f>ROUND($L$290*$K$290,2)</f>
        <v>0</v>
      </c>
      <c r="O290" s="211"/>
      <c r="P290" s="211"/>
      <c r="Q290" s="211"/>
      <c r="R290" s="24"/>
      <c r="T290" s="131"/>
      <c r="U290" s="30" t="s">
        <v>40</v>
      </c>
      <c r="V290" s="132">
        <v>0.167</v>
      </c>
      <c r="W290" s="132">
        <f>$V$290*$K$290</f>
        <v>4.175</v>
      </c>
      <c r="X290" s="132">
        <v>0.00167</v>
      </c>
      <c r="Y290" s="132">
        <f>$X$290*$K$290</f>
        <v>0.04175</v>
      </c>
      <c r="Z290" s="132">
        <v>0</v>
      </c>
      <c r="AA290" s="133">
        <f>$Z$290*$K$290</f>
        <v>0</v>
      </c>
      <c r="AR290" s="6" t="s">
        <v>218</v>
      </c>
      <c r="AT290" s="6" t="s">
        <v>173</v>
      </c>
      <c r="AU290" s="6" t="s">
        <v>103</v>
      </c>
      <c r="AY290" s="6" t="s">
        <v>172</v>
      </c>
      <c r="BE290" s="82">
        <f>IF($U$290="základní",$N$290,0)</f>
        <v>0</v>
      </c>
      <c r="BF290" s="82">
        <f>IF($U$290="snížená",$N$290,0)</f>
        <v>0</v>
      </c>
      <c r="BG290" s="82">
        <f>IF($U$290="zákl. přenesena",$N$290,0)</f>
        <v>0</v>
      </c>
      <c r="BH290" s="82">
        <f>IF($U$290="sníž. přenesena",$N$290,0)</f>
        <v>0</v>
      </c>
      <c r="BI290" s="82">
        <f>IF($U$290="nulová",$N$290,0)</f>
        <v>0</v>
      </c>
      <c r="BJ290" s="6" t="s">
        <v>103</v>
      </c>
    </row>
    <row r="291" spans="2:62" s="6" customFormat="1" ht="15.75" customHeight="1">
      <c r="B291" s="22"/>
      <c r="C291" s="127" t="s">
        <v>590</v>
      </c>
      <c r="D291" s="127" t="s">
        <v>173</v>
      </c>
      <c r="E291" s="128" t="s">
        <v>591</v>
      </c>
      <c r="F291" s="210" t="s">
        <v>592</v>
      </c>
      <c r="G291" s="211"/>
      <c r="H291" s="211"/>
      <c r="I291" s="211"/>
      <c r="J291" s="129" t="s">
        <v>247</v>
      </c>
      <c r="K291" s="130">
        <v>13.5</v>
      </c>
      <c r="L291" s="212">
        <v>0</v>
      </c>
      <c r="M291" s="211"/>
      <c r="N291" s="213">
        <f>ROUND($L$291*$K$291,2)</f>
        <v>0</v>
      </c>
      <c r="O291" s="211"/>
      <c r="P291" s="211"/>
      <c r="Q291" s="211"/>
      <c r="R291" s="24"/>
      <c r="T291" s="131"/>
      <c r="U291" s="30" t="s">
        <v>40</v>
      </c>
      <c r="V291" s="132">
        <v>0.193</v>
      </c>
      <c r="W291" s="132">
        <f>$V$291*$K$291</f>
        <v>2.6055</v>
      </c>
      <c r="X291" s="132">
        <v>0.00254</v>
      </c>
      <c r="Y291" s="132">
        <f>$X$291*$K$291</f>
        <v>0.03429</v>
      </c>
      <c r="Z291" s="132">
        <v>0</v>
      </c>
      <c r="AA291" s="133">
        <f>$Z$291*$K$291</f>
        <v>0</v>
      </c>
      <c r="AR291" s="6" t="s">
        <v>218</v>
      </c>
      <c r="AT291" s="6" t="s">
        <v>173</v>
      </c>
      <c r="AU291" s="6" t="s">
        <v>103</v>
      </c>
      <c r="AY291" s="6" t="s">
        <v>172</v>
      </c>
      <c r="BE291" s="82">
        <f>IF($U$291="základní",$N$291,0)</f>
        <v>0</v>
      </c>
      <c r="BF291" s="82">
        <f>IF($U$291="snížená",$N$291,0)</f>
        <v>0</v>
      </c>
      <c r="BG291" s="82">
        <f>IF($U$291="zákl. přenesena",$N$291,0)</f>
        <v>0</v>
      </c>
      <c r="BH291" s="82">
        <f>IF($U$291="sníž. přenesena",$N$291,0)</f>
        <v>0</v>
      </c>
      <c r="BI291" s="82">
        <f>IF($U$291="nulová",$N$291,0)</f>
        <v>0</v>
      </c>
      <c r="BJ291" s="6" t="s">
        <v>103</v>
      </c>
    </row>
    <row r="292" spans="2:62" s="6" customFormat="1" ht="15.75" customHeight="1">
      <c r="B292" s="22"/>
      <c r="C292" s="127" t="s">
        <v>593</v>
      </c>
      <c r="D292" s="127" t="s">
        <v>173</v>
      </c>
      <c r="E292" s="128" t="s">
        <v>594</v>
      </c>
      <c r="F292" s="210" t="s">
        <v>595</v>
      </c>
      <c r="G292" s="211"/>
      <c r="H292" s="211"/>
      <c r="I292" s="211"/>
      <c r="J292" s="129" t="s">
        <v>247</v>
      </c>
      <c r="K292" s="130">
        <v>14</v>
      </c>
      <c r="L292" s="212">
        <v>0</v>
      </c>
      <c r="M292" s="211"/>
      <c r="N292" s="213">
        <f>ROUND($L$292*$K$292,2)</f>
        <v>0</v>
      </c>
      <c r="O292" s="211"/>
      <c r="P292" s="211"/>
      <c r="Q292" s="211"/>
      <c r="R292" s="24"/>
      <c r="T292" s="131"/>
      <c r="U292" s="30" t="s">
        <v>40</v>
      </c>
      <c r="V292" s="132">
        <v>0.33</v>
      </c>
      <c r="W292" s="132">
        <f>$V$292*$K$292</f>
        <v>4.62</v>
      </c>
      <c r="X292" s="132">
        <v>0.00254</v>
      </c>
      <c r="Y292" s="132">
        <f>$X$292*$K$292</f>
        <v>0.03556</v>
      </c>
      <c r="Z292" s="132">
        <v>0</v>
      </c>
      <c r="AA292" s="133">
        <f>$Z$292*$K$292</f>
        <v>0</v>
      </c>
      <c r="AR292" s="6" t="s">
        <v>218</v>
      </c>
      <c r="AT292" s="6" t="s">
        <v>173</v>
      </c>
      <c r="AU292" s="6" t="s">
        <v>103</v>
      </c>
      <c r="AY292" s="6" t="s">
        <v>172</v>
      </c>
      <c r="BE292" s="82">
        <f>IF($U$292="základní",$N$292,0)</f>
        <v>0</v>
      </c>
      <c r="BF292" s="82">
        <f>IF($U$292="snížená",$N$292,0)</f>
        <v>0</v>
      </c>
      <c r="BG292" s="82">
        <f>IF($U$292="zákl. přenesena",$N$292,0)</f>
        <v>0</v>
      </c>
      <c r="BH292" s="82">
        <f>IF($U$292="sníž. přenesena",$N$292,0)</f>
        <v>0</v>
      </c>
      <c r="BI292" s="82">
        <f>IF($U$292="nulová",$N$292,0)</f>
        <v>0</v>
      </c>
      <c r="BJ292" s="6" t="s">
        <v>103</v>
      </c>
    </row>
    <row r="293" spans="2:62" s="6" customFormat="1" ht="15.75" customHeight="1">
      <c r="B293" s="22"/>
      <c r="C293" s="127" t="s">
        <v>596</v>
      </c>
      <c r="D293" s="127" t="s">
        <v>173</v>
      </c>
      <c r="E293" s="128" t="s">
        <v>597</v>
      </c>
      <c r="F293" s="210" t="s">
        <v>598</v>
      </c>
      <c r="G293" s="211"/>
      <c r="H293" s="211"/>
      <c r="I293" s="211"/>
      <c r="J293" s="129" t="s">
        <v>247</v>
      </c>
      <c r="K293" s="130">
        <v>12</v>
      </c>
      <c r="L293" s="212">
        <v>0</v>
      </c>
      <c r="M293" s="211"/>
      <c r="N293" s="213">
        <f>ROUND($L$293*$K$293,2)</f>
        <v>0</v>
      </c>
      <c r="O293" s="211"/>
      <c r="P293" s="211"/>
      <c r="Q293" s="211"/>
      <c r="R293" s="24"/>
      <c r="T293" s="131"/>
      <c r="U293" s="30" t="s">
        <v>40</v>
      </c>
      <c r="V293" s="132">
        <v>0.461</v>
      </c>
      <c r="W293" s="132">
        <f>$V$293*$K$293</f>
        <v>5.532</v>
      </c>
      <c r="X293" s="132">
        <v>0.00323</v>
      </c>
      <c r="Y293" s="132">
        <f>$X$293*$K$293</f>
        <v>0.038759999999999996</v>
      </c>
      <c r="Z293" s="132">
        <v>0</v>
      </c>
      <c r="AA293" s="133">
        <f>$Z$293*$K$293</f>
        <v>0</v>
      </c>
      <c r="AR293" s="6" t="s">
        <v>218</v>
      </c>
      <c r="AT293" s="6" t="s">
        <v>173</v>
      </c>
      <c r="AU293" s="6" t="s">
        <v>103</v>
      </c>
      <c r="AY293" s="6" t="s">
        <v>172</v>
      </c>
      <c r="BE293" s="82">
        <f>IF($U$293="základní",$N$293,0)</f>
        <v>0</v>
      </c>
      <c r="BF293" s="82">
        <f>IF($U$293="snížená",$N$293,0)</f>
        <v>0</v>
      </c>
      <c r="BG293" s="82">
        <f>IF($U$293="zákl. přenesena",$N$293,0)</f>
        <v>0</v>
      </c>
      <c r="BH293" s="82">
        <f>IF($U$293="sníž. přenesena",$N$293,0)</f>
        <v>0</v>
      </c>
      <c r="BI293" s="82">
        <f>IF($U$293="nulová",$N$293,0)</f>
        <v>0</v>
      </c>
      <c r="BJ293" s="6" t="s">
        <v>103</v>
      </c>
    </row>
    <row r="294" spans="2:62" s="6" customFormat="1" ht="15.75" customHeight="1">
      <c r="B294" s="22"/>
      <c r="C294" s="127" t="s">
        <v>599</v>
      </c>
      <c r="D294" s="127" t="s">
        <v>173</v>
      </c>
      <c r="E294" s="128" t="s">
        <v>600</v>
      </c>
      <c r="F294" s="210" t="s">
        <v>601</v>
      </c>
      <c r="G294" s="211"/>
      <c r="H294" s="211"/>
      <c r="I294" s="211"/>
      <c r="J294" s="129" t="s">
        <v>247</v>
      </c>
      <c r="K294" s="130">
        <v>9.6</v>
      </c>
      <c r="L294" s="212">
        <v>0</v>
      </c>
      <c r="M294" s="211"/>
      <c r="N294" s="213">
        <f>ROUND($L$294*$K$294,2)</f>
        <v>0</v>
      </c>
      <c r="O294" s="211"/>
      <c r="P294" s="211"/>
      <c r="Q294" s="211"/>
      <c r="R294" s="24"/>
      <c r="T294" s="131"/>
      <c r="U294" s="30" t="s">
        <v>40</v>
      </c>
      <c r="V294" s="132">
        <v>0.291</v>
      </c>
      <c r="W294" s="132">
        <f>$V$294*$K$294</f>
        <v>2.7935999999999996</v>
      </c>
      <c r="X294" s="132">
        <v>0.00273</v>
      </c>
      <c r="Y294" s="132">
        <f>$X$294*$K$294</f>
        <v>0.026208</v>
      </c>
      <c r="Z294" s="132">
        <v>0</v>
      </c>
      <c r="AA294" s="133">
        <f>$Z$294*$K$294</f>
        <v>0</v>
      </c>
      <c r="AR294" s="6" t="s">
        <v>218</v>
      </c>
      <c r="AT294" s="6" t="s">
        <v>173</v>
      </c>
      <c r="AU294" s="6" t="s">
        <v>103</v>
      </c>
      <c r="AY294" s="6" t="s">
        <v>172</v>
      </c>
      <c r="BE294" s="82">
        <f>IF($U$294="základní",$N$294,0)</f>
        <v>0</v>
      </c>
      <c r="BF294" s="82">
        <f>IF($U$294="snížená",$N$294,0)</f>
        <v>0</v>
      </c>
      <c r="BG294" s="82">
        <f>IF($U$294="zákl. přenesena",$N$294,0)</f>
        <v>0</v>
      </c>
      <c r="BH294" s="82">
        <f>IF($U$294="sníž. přenesena",$N$294,0)</f>
        <v>0</v>
      </c>
      <c r="BI294" s="82">
        <f>IF($U$294="nulová",$N$294,0)</f>
        <v>0</v>
      </c>
      <c r="BJ294" s="6" t="s">
        <v>103</v>
      </c>
    </row>
    <row r="295" spans="2:62" s="6" customFormat="1" ht="27" customHeight="1">
      <c r="B295" s="22"/>
      <c r="C295" s="127" t="s">
        <v>602</v>
      </c>
      <c r="D295" s="127" t="s">
        <v>173</v>
      </c>
      <c r="E295" s="128" t="s">
        <v>603</v>
      </c>
      <c r="F295" s="210" t="s">
        <v>604</v>
      </c>
      <c r="G295" s="211"/>
      <c r="H295" s="211"/>
      <c r="I295" s="211"/>
      <c r="J295" s="129" t="s">
        <v>468</v>
      </c>
      <c r="K295" s="138">
        <v>0</v>
      </c>
      <c r="L295" s="212">
        <v>0</v>
      </c>
      <c r="M295" s="211"/>
      <c r="N295" s="213">
        <f>ROUND($L$295*$K$295,2)</f>
        <v>0</v>
      </c>
      <c r="O295" s="211"/>
      <c r="P295" s="211"/>
      <c r="Q295" s="211"/>
      <c r="R295" s="24"/>
      <c r="T295" s="131"/>
      <c r="U295" s="30" t="s">
        <v>40</v>
      </c>
      <c r="V295" s="132">
        <v>0</v>
      </c>
      <c r="W295" s="132">
        <f>$V$295*$K$295</f>
        <v>0</v>
      </c>
      <c r="X295" s="132">
        <v>0</v>
      </c>
      <c r="Y295" s="132">
        <f>$X$295*$K$295</f>
        <v>0</v>
      </c>
      <c r="Z295" s="132">
        <v>0</v>
      </c>
      <c r="AA295" s="133">
        <f>$Z$295*$K$295</f>
        <v>0</v>
      </c>
      <c r="AR295" s="6" t="s">
        <v>218</v>
      </c>
      <c r="AT295" s="6" t="s">
        <v>173</v>
      </c>
      <c r="AU295" s="6" t="s">
        <v>103</v>
      </c>
      <c r="AY295" s="6" t="s">
        <v>172</v>
      </c>
      <c r="BE295" s="82">
        <f>IF($U$295="základní",$N$295,0)</f>
        <v>0</v>
      </c>
      <c r="BF295" s="82">
        <f>IF($U$295="snížená",$N$295,0)</f>
        <v>0</v>
      </c>
      <c r="BG295" s="82">
        <f>IF($U$295="zákl. přenesena",$N$295,0)</f>
        <v>0</v>
      </c>
      <c r="BH295" s="82">
        <f>IF($U$295="sníž. přenesena",$N$295,0)</f>
        <v>0</v>
      </c>
      <c r="BI295" s="82">
        <f>IF($U$295="nulová",$N$295,0)</f>
        <v>0</v>
      </c>
      <c r="BJ295" s="6" t="s">
        <v>103</v>
      </c>
    </row>
    <row r="296" spans="2:51" s="117" customFormat="1" ht="30.75" customHeight="1">
      <c r="B296" s="118"/>
      <c r="C296" s="119"/>
      <c r="D296" s="126" t="s">
        <v>140</v>
      </c>
      <c r="E296" s="119"/>
      <c r="F296" s="119"/>
      <c r="G296" s="119"/>
      <c r="H296" s="119"/>
      <c r="I296" s="119"/>
      <c r="J296" s="119"/>
      <c r="K296" s="119"/>
      <c r="L296" s="119"/>
      <c r="M296" s="119"/>
      <c r="N296" s="221">
        <f>SUM($N$297:$N$315)</f>
        <v>0</v>
      </c>
      <c r="O296" s="220"/>
      <c r="P296" s="220"/>
      <c r="Q296" s="220"/>
      <c r="R296" s="121"/>
      <c r="T296" s="122"/>
      <c r="U296" s="119"/>
      <c r="V296" s="119"/>
      <c r="W296" s="123">
        <f>SUM($W$297:$W$315)</f>
        <v>69.82178</v>
      </c>
      <c r="X296" s="119"/>
      <c r="Y296" s="123">
        <f>SUM($Y$297:$Y$315)</f>
        <v>0.514648</v>
      </c>
      <c r="Z296" s="119"/>
      <c r="AA296" s="124">
        <f>SUM($AA$297:$AA$315)</f>
        <v>0.098</v>
      </c>
      <c r="AR296" s="125" t="s">
        <v>103</v>
      </c>
      <c r="AT296" s="125" t="s">
        <v>72</v>
      </c>
      <c r="AU296" s="125" t="s">
        <v>17</v>
      </c>
      <c r="AY296" s="125" t="s">
        <v>172</v>
      </c>
    </row>
    <row r="297" spans="2:62" s="6" customFormat="1" ht="27" customHeight="1">
      <c r="B297" s="22"/>
      <c r="C297" s="127" t="s">
        <v>605</v>
      </c>
      <c r="D297" s="127" t="s">
        <v>173</v>
      </c>
      <c r="E297" s="128" t="s">
        <v>606</v>
      </c>
      <c r="F297" s="210" t="s">
        <v>607</v>
      </c>
      <c r="G297" s="211"/>
      <c r="H297" s="211"/>
      <c r="I297" s="211"/>
      <c r="J297" s="129" t="s">
        <v>260</v>
      </c>
      <c r="K297" s="130">
        <v>10</v>
      </c>
      <c r="L297" s="212">
        <v>0</v>
      </c>
      <c r="M297" s="211"/>
      <c r="N297" s="213">
        <f>ROUND($L$297*$K$297,2)</f>
        <v>0</v>
      </c>
      <c r="O297" s="211"/>
      <c r="P297" s="211"/>
      <c r="Q297" s="211"/>
      <c r="R297" s="24"/>
      <c r="T297" s="131"/>
      <c r="U297" s="30" t="s">
        <v>40</v>
      </c>
      <c r="V297" s="132">
        <v>0.12</v>
      </c>
      <c r="W297" s="132">
        <f>$V$297*$K$297</f>
        <v>1.2</v>
      </c>
      <c r="X297" s="132">
        <v>0</v>
      </c>
      <c r="Y297" s="132">
        <f>$X$297*$K$297</f>
        <v>0</v>
      </c>
      <c r="Z297" s="132">
        <v>0.005</v>
      </c>
      <c r="AA297" s="133">
        <f>$Z$297*$K$297</f>
        <v>0.05</v>
      </c>
      <c r="AR297" s="6" t="s">
        <v>218</v>
      </c>
      <c r="AT297" s="6" t="s">
        <v>173</v>
      </c>
      <c r="AU297" s="6" t="s">
        <v>103</v>
      </c>
      <c r="AY297" s="6" t="s">
        <v>172</v>
      </c>
      <c r="BE297" s="82">
        <f>IF($U$297="základní",$N$297,0)</f>
        <v>0</v>
      </c>
      <c r="BF297" s="82">
        <f>IF($U$297="snížená",$N$297,0)</f>
        <v>0</v>
      </c>
      <c r="BG297" s="82">
        <f>IF($U$297="zákl. přenesena",$N$297,0)</f>
        <v>0</v>
      </c>
      <c r="BH297" s="82">
        <f>IF($U$297="sníž. přenesena",$N$297,0)</f>
        <v>0</v>
      </c>
      <c r="BI297" s="82">
        <f>IF($U$297="nulová",$N$297,0)</f>
        <v>0</v>
      </c>
      <c r="BJ297" s="6" t="s">
        <v>103</v>
      </c>
    </row>
    <row r="298" spans="2:62" s="6" customFormat="1" ht="27" customHeight="1">
      <c r="B298" s="22"/>
      <c r="C298" s="127" t="s">
        <v>608</v>
      </c>
      <c r="D298" s="127" t="s">
        <v>173</v>
      </c>
      <c r="E298" s="128" t="s">
        <v>609</v>
      </c>
      <c r="F298" s="210" t="s">
        <v>610</v>
      </c>
      <c r="G298" s="211"/>
      <c r="H298" s="211"/>
      <c r="I298" s="211"/>
      <c r="J298" s="129" t="s">
        <v>176</v>
      </c>
      <c r="K298" s="130">
        <v>9.72</v>
      </c>
      <c r="L298" s="212">
        <v>0</v>
      </c>
      <c r="M298" s="211"/>
      <c r="N298" s="213">
        <f>ROUND($L$298*$K$298,2)</f>
        <v>0</v>
      </c>
      <c r="O298" s="211"/>
      <c r="P298" s="211"/>
      <c r="Q298" s="211"/>
      <c r="R298" s="24"/>
      <c r="T298" s="131"/>
      <c r="U298" s="30" t="s">
        <v>40</v>
      </c>
      <c r="V298" s="132">
        <v>1.75</v>
      </c>
      <c r="W298" s="132">
        <f>$V$298*$K$298</f>
        <v>17.01</v>
      </c>
      <c r="X298" s="132">
        <v>0.00025</v>
      </c>
      <c r="Y298" s="132">
        <f>$X$298*$K$298</f>
        <v>0.0024300000000000003</v>
      </c>
      <c r="Z298" s="132">
        <v>0</v>
      </c>
      <c r="AA298" s="133">
        <f>$Z$298*$K$298</f>
        <v>0</v>
      </c>
      <c r="AR298" s="6" t="s">
        <v>116</v>
      </c>
      <c r="AT298" s="6" t="s">
        <v>173</v>
      </c>
      <c r="AU298" s="6" t="s">
        <v>103</v>
      </c>
      <c r="AY298" s="6" t="s">
        <v>172</v>
      </c>
      <c r="BE298" s="82">
        <f>IF($U$298="základní",$N$298,0)</f>
        <v>0</v>
      </c>
      <c r="BF298" s="82">
        <f>IF($U$298="snížená",$N$298,0)</f>
        <v>0</v>
      </c>
      <c r="BG298" s="82">
        <f>IF($U$298="zákl. přenesena",$N$298,0)</f>
        <v>0</v>
      </c>
      <c r="BH298" s="82">
        <f>IF($U$298="sníž. přenesena",$N$298,0)</f>
        <v>0</v>
      </c>
      <c r="BI298" s="82">
        <f>IF($U$298="nulová",$N$298,0)</f>
        <v>0</v>
      </c>
      <c r="BJ298" s="6" t="s">
        <v>103</v>
      </c>
    </row>
    <row r="299" spans="2:62" s="6" customFormat="1" ht="27" customHeight="1">
      <c r="B299" s="22"/>
      <c r="C299" s="134" t="s">
        <v>611</v>
      </c>
      <c r="D299" s="134" t="s">
        <v>201</v>
      </c>
      <c r="E299" s="135" t="s">
        <v>612</v>
      </c>
      <c r="F299" s="214" t="s">
        <v>613</v>
      </c>
      <c r="G299" s="215"/>
      <c r="H299" s="215"/>
      <c r="I299" s="215"/>
      <c r="J299" s="136" t="s">
        <v>260</v>
      </c>
      <c r="K299" s="137">
        <v>15</v>
      </c>
      <c r="L299" s="216">
        <v>0</v>
      </c>
      <c r="M299" s="215"/>
      <c r="N299" s="217">
        <f>ROUND($L$299*$K$299,2)</f>
        <v>0</v>
      </c>
      <c r="O299" s="211"/>
      <c r="P299" s="211"/>
      <c r="Q299" s="211"/>
      <c r="R299" s="24"/>
      <c r="T299" s="131"/>
      <c r="U299" s="30" t="s">
        <v>40</v>
      </c>
      <c r="V299" s="132">
        <v>0</v>
      </c>
      <c r="W299" s="132">
        <f>$V$299*$K$299</f>
        <v>0</v>
      </c>
      <c r="X299" s="132">
        <v>0.0093</v>
      </c>
      <c r="Y299" s="132">
        <f>$X$299*$K$299</f>
        <v>0.13949999999999999</v>
      </c>
      <c r="Z299" s="132">
        <v>0</v>
      </c>
      <c r="AA299" s="133">
        <f>$Z$299*$K$299</f>
        <v>0</v>
      </c>
      <c r="AR299" s="6" t="s">
        <v>194</v>
      </c>
      <c r="AT299" s="6" t="s">
        <v>201</v>
      </c>
      <c r="AU299" s="6" t="s">
        <v>103</v>
      </c>
      <c r="AY299" s="6" t="s">
        <v>172</v>
      </c>
      <c r="BE299" s="82">
        <f>IF($U$299="základní",$N$299,0)</f>
        <v>0</v>
      </c>
      <c r="BF299" s="82">
        <f>IF($U$299="snížená",$N$299,0)</f>
        <v>0</v>
      </c>
      <c r="BG299" s="82">
        <f>IF($U$299="zákl. přenesena",$N$299,0)</f>
        <v>0</v>
      </c>
      <c r="BH299" s="82">
        <f>IF($U$299="sníž. přenesena",$N$299,0)</f>
        <v>0</v>
      </c>
      <c r="BI299" s="82">
        <f>IF($U$299="nulová",$N$299,0)</f>
        <v>0</v>
      </c>
      <c r="BJ299" s="6" t="s">
        <v>103</v>
      </c>
    </row>
    <row r="300" spans="2:62" s="6" customFormat="1" ht="27" customHeight="1">
      <c r="B300" s="22"/>
      <c r="C300" s="134" t="s">
        <v>614</v>
      </c>
      <c r="D300" s="134" t="s">
        <v>201</v>
      </c>
      <c r="E300" s="135" t="s">
        <v>615</v>
      </c>
      <c r="F300" s="214" t="s">
        <v>616</v>
      </c>
      <c r="G300" s="215"/>
      <c r="H300" s="215"/>
      <c r="I300" s="215"/>
      <c r="J300" s="136" t="s">
        <v>260</v>
      </c>
      <c r="K300" s="137">
        <v>2</v>
      </c>
      <c r="L300" s="216">
        <v>0</v>
      </c>
      <c r="M300" s="215"/>
      <c r="N300" s="217">
        <f>ROUND($L$300*$K$300,2)</f>
        <v>0</v>
      </c>
      <c r="O300" s="211"/>
      <c r="P300" s="211"/>
      <c r="Q300" s="211"/>
      <c r="R300" s="24"/>
      <c r="T300" s="131"/>
      <c r="U300" s="30" t="s">
        <v>40</v>
      </c>
      <c r="V300" s="132">
        <v>0</v>
      </c>
      <c r="W300" s="132">
        <f>$V$300*$K$300</f>
        <v>0</v>
      </c>
      <c r="X300" s="132">
        <v>0.014</v>
      </c>
      <c r="Y300" s="132">
        <f>$X$300*$K$300</f>
        <v>0.028</v>
      </c>
      <c r="Z300" s="132">
        <v>0</v>
      </c>
      <c r="AA300" s="133">
        <f>$Z$300*$K$300</f>
        <v>0</v>
      </c>
      <c r="AR300" s="6" t="s">
        <v>194</v>
      </c>
      <c r="AT300" s="6" t="s">
        <v>201</v>
      </c>
      <c r="AU300" s="6" t="s">
        <v>103</v>
      </c>
      <c r="AY300" s="6" t="s">
        <v>172</v>
      </c>
      <c r="BE300" s="82">
        <f>IF($U$300="základní",$N$300,0)</f>
        <v>0</v>
      </c>
      <c r="BF300" s="82">
        <f>IF($U$300="snížená",$N$300,0)</f>
        <v>0</v>
      </c>
      <c r="BG300" s="82">
        <f>IF($U$300="zákl. přenesena",$N$300,0)</f>
        <v>0</v>
      </c>
      <c r="BH300" s="82">
        <f>IF($U$300="sníž. přenesena",$N$300,0)</f>
        <v>0</v>
      </c>
      <c r="BI300" s="82">
        <f>IF($U$300="nulová",$N$300,0)</f>
        <v>0</v>
      </c>
      <c r="BJ300" s="6" t="s">
        <v>103</v>
      </c>
    </row>
    <row r="301" spans="2:62" s="6" customFormat="1" ht="27" customHeight="1">
      <c r="B301" s="22"/>
      <c r="C301" s="134" t="s">
        <v>617</v>
      </c>
      <c r="D301" s="134" t="s">
        <v>201</v>
      </c>
      <c r="E301" s="135" t="s">
        <v>618</v>
      </c>
      <c r="F301" s="214" t="s">
        <v>619</v>
      </c>
      <c r="G301" s="215"/>
      <c r="H301" s="215"/>
      <c r="I301" s="215"/>
      <c r="J301" s="136" t="s">
        <v>260</v>
      </c>
      <c r="K301" s="137">
        <v>1</v>
      </c>
      <c r="L301" s="216">
        <v>0</v>
      </c>
      <c r="M301" s="215"/>
      <c r="N301" s="217">
        <f>ROUND($L$301*$K$301,2)</f>
        <v>0</v>
      </c>
      <c r="O301" s="211"/>
      <c r="P301" s="211"/>
      <c r="Q301" s="211"/>
      <c r="R301" s="24"/>
      <c r="T301" s="131"/>
      <c r="U301" s="30" t="s">
        <v>40</v>
      </c>
      <c r="V301" s="132">
        <v>0</v>
      </c>
      <c r="W301" s="132">
        <f>$V$301*$K$301</f>
        <v>0</v>
      </c>
      <c r="X301" s="132">
        <v>0.014</v>
      </c>
      <c r="Y301" s="132">
        <f>$X$301*$K$301</f>
        <v>0.014</v>
      </c>
      <c r="Z301" s="132">
        <v>0</v>
      </c>
      <c r="AA301" s="133">
        <f>$Z$301*$K$301</f>
        <v>0</v>
      </c>
      <c r="AR301" s="6" t="s">
        <v>194</v>
      </c>
      <c r="AT301" s="6" t="s">
        <v>201</v>
      </c>
      <c r="AU301" s="6" t="s">
        <v>103</v>
      </c>
      <c r="AY301" s="6" t="s">
        <v>172</v>
      </c>
      <c r="BE301" s="82">
        <f>IF($U$301="základní",$N$301,0)</f>
        <v>0</v>
      </c>
      <c r="BF301" s="82">
        <f>IF($U$301="snížená",$N$301,0)</f>
        <v>0</v>
      </c>
      <c r="BG301" s="82">
        <f>IF($U$301="zákl. přenesena",$N$301,0)</f>
        <v>0</v>
      </c>
      <c r="BH301" s="82">
        <f>IF($U$301="sníž. přenesena",$N$301,0)</f>
        <v>0</v>
      </c>
      <c r="BI301" s="82">
        <f>IF($U$301="nulová",$N$301,0)</f>
        <v>0</v>
      </c>
      <c r="BJ301" s="6" t="s">
        <v>103</v>
      </c>
    </row>
    <row r="302" spans="2:62" s="6" customFormat="1" ht="27" customHeight="1">
      <c r="B302" s="22"/>
      <c r="C302" s="127" t="s">
        <v>620</v>
      </c>
      <c r="D302" s="127" t="s">
        <v>173</v>
      </c>
      <c r="E302" s="128" t="s">
        <v>621</v>
      </c>
      <c r="F302" s="210" t="s">
        <v>622</v>
      </c>
      <c r="G302" s="211"/>
      <c r="H302" s="211"/>
      <c r="I302" s="211"/>
      <c r="J302" s="129" t="s">
        <v>176</v>
      </c>
      <c r="K302" s="130">
        <v>21.22</v>
      </c>
      <c r="L302" s="212">
        <v>0</v>
      </c>
      <c r="M302" s="211"/>
      <c r="N302" s="213">
        <f>ROUND($L$302*$K$302,2)</f>
        <v>0</v>
      </c>
      <c r="O302" s="211"/>
      <c r="P302" s="211"/>
      <c r="Q302" s="211"/>
      <c r="R302" s="24"/>
      <c r="T302" s="131"/>
      <c r="U302" s="30" t="s">
        <v>40</v>
      </c>
      <c r="V302" s="132">
        <v>1.799</v>
      </c>
      <c r="W302" s="132">
        <f>$V$302*$K$302</f>
        <v>38.17478</v>
      </c>
      <c r="X302" s="132">
        <v>0.0004</v>
      </c>
      <c r="Y302" s="132">
        <f>$X$302*$K$302</f>
        <v>0.008488</v>
      </c>
      <c r="Z302" s="132">
        <v>0</v>
      </c>
      <c r="AA302" s="133">
        <f>$Z$302*$K$302</f>
        <v>0</v>
      </c>
      <c r="AR302" s="6" t="s">
        <v>218</v>
      </c>
      <c r="AT302" s="6" t="s">
        <v>173</v>
      </c>
      <c r="AU302" s="6" t="s">
        <v>103</v>
      </c>
      <c r="AY302" s="6" t="s">
        <v>172</v>
      </c>
      <c r="BE302" s="82">
        <f>IF($U$302="základní",$N$302,0)</f>
        <v>0</v>
      </c>
      <c r="BF302" s="82">
        <f>IF($U$302="snížená",$N$302,0)</f>
        <v>0</v>
      </c>
      <c r="BG302" s="82">
        <f>IF($U$302="zákl. přenesena",$N$302,0)</f>
        <v>0</v>
      </c>
      <c r="BH302" s="82">
        <f>IF($U$302="sníž. přenesena",$N$302,0)</f>
        <v>0</v>
      </c>
      <c r="BI302" s="82">
        <f>IF($U$302="nulová",$N$302,0)</f>
        <v>0</v>
      </c>
      <c r="BJ302" s="6" t="s">
        <v>103</v>
      </c>
    </row>
    <row r="303" spans="2:62" s="6" customFormat="1" ht="27" customHeight="1">
      <c r="B303" s="22"/>
      <c r="C303" s="134" t="s">
        <v>623</v>
      </c>
      <c r="D303" s="134" t="s">
        <v>201</v>
      </c>
      <c r="E303" s="135" t="s">
        <v>624</v>
      </c>
      <c r="F303" s="214" t="s">
        <v>625</v>
      </c>
      <c r="G303" s="215"/>
      <c r="H303" s="215"/>
      <c r="I303" s="215"/>
      <c r="J303" s="136" t="s">
        <v>260</v>
      </c>
      <c r="K303" s="137">
        <v>2</v>
      </c>
      <c r="L303" s="216">
        <v>0</v>
      </c>
      <c r="M303" s="215"/>
      <c r="N303" s="217">
        <f>ROUND($L$303*$K$303,2)</f>
        <v>0</v>
      </c>
      <c r="O303" s="211"/>
      <c r="P303" s="211"/>
      <c r="Q303" s="211"/>
      <c r="R303" s="24"/>
      <c r="T303" s="131"/>
      <c r="U303" s="30" t="s">
        <v>40</v>
      </c>
      <c r="V303" s="132">
        <v>0</v>
      </c>
      <c r="W303" s="132">
        <f>$V$303*$K$303</f>
        <v>0</v>
      </c>
      <c r="X303" s="132">
        <v>0.0544</v>
      </c>
      <c r="Y303" s="132">
        <f>$X$303*$K$303</f>
        <v>0.1088</v>
      </c>
      <c r="Z303" s="132">
        <v>0</v>
      </c>
      <c r="AA303" s="133">
        <f>$Z$303*$K$303</f>
        <v>0</v>
      </c>
      <c r="AR303" s="6" t="s">
        <v>267</v>
      </c>
      <c r="AT303" s="6" t="s">
        <v>201</v>
      </c>
      <c r="AU303" s="6" t="s">
        <v>103</v>
      </c>
      <c r="AY303" s="6" t="s">
        <v>172</v>
      </c>
      <c r="BE303" s="82">
        <f>IF($U$303="základní",$N$303,0)</f>
        <v>0</v>
      </c>
      <c r="BF303" s="82">
        <f>IF($U$303="snížená",$N$303,0)</f>
        <v>0</v>
      </c>
      <c r="BG303" s="82">
        <f>IF($U$303="zákl. přenesena",$N$303,0)</f>
        <v>0</v>
      </c>
      <c r="BH303" s="82">
        <f>IF($U$303="sníž. přenesena",$N$303,0)</f>
        <v>0</v>
      </c>
      <c r="BI303" s="82">
        <f>IF($U$303="nulová",$N$303,0)</f>
        <v>0</v>
      </c>
      <c r="BJ303" s="6" t="s">
        <v>103</v>
      </c>
    </row>
    <row r="304" spans="2:62" s="6" customFormat="1" ht="27" customHeight="1">
      <c r="B304" s="22"/>
      <c r="C304" s="134" t="s">
        <v>626</v>
      </c>
      <c r="D304" s="134" t="s">
        <v>201</v>
      </c>
      <c r="E304" s="135" t="s">
        <v>627</v>
      </c>
      <c r="F304" s="214" t="s">
        <v>628</v>
      </c>
      <c r="G304" s="215"/>
      <c r="H304" s="215"/>
      <c r="I304" s="215"/>
      <c r="J304" s="136" t="s">
        <v>260</v>
      </c>
      <c r="K304" s="137">
        <v>4</v>
      </c>
      <c r="L304" s="216">
        <v>0</v>
      </c>
      <c r="M304" s="215"/>
      <c r="N304" s="217">
        <f>ROUND($L$304*$K$304,2)</f>
        <v>0</v>
      </c>
      <c r="O304" s="211"/>
      <c r="P304" s="211"/>
      <c r="Q304" s="211"/>
      <c r="R304" s="24"/>
      <c r="T304" s="131"/>
      <c r="U304" s="30" t="s">
        <v>40</v>
      </c>
      <c r="V304" s="132">
        <v>0</v>
      </c>
      <c r="W304" s="132">
        <f>$V$304*$K$304</f>
        <v>0</v>
      </c>
      <c r="X304" s="132">
        <v>0.0249</v>
      </c>
      <c r="Y304" s="132">
        <f>$X$304*$K$304</f>
        <v>0.0996</v>
      </c>
      <c r="Z304" s="132">
        <v>0</v>
      </c>
      <c r="AA304" s="133">
        <f>$Z$304*$K$304</f>
        <v>0</v>
      </c>
      <c r="AR304" s="6" t="s">
        <v>194</v>
      </c>
      <c r="AT304" s="6" t="s">
        <v>201</v>
      </c>
      <c r="AU304" s="6" t="s">
        <v>103</v>
      </c>
      <c r="AY304" s="6" t="s">
        <v>172</v>
      </c>
      <c r="BE304" s="82">
        <f>IF($U$304="základní",$N$304,0)</f>
        <v>0</v>
      </c>
      <c r="BF304" s="82">
        <f>IF($U$304="snížená",$N$304,0)</f>
        <v>0</v>
      </c>
      <c r="BG304" s="82">
        <f>IF($U$304="zákl. přenesena",$N$304,0)</f>
        <v>0</v>
      </c>
      <c r="BH304" s="82">
        <f>IF($U$304="sníž. přenesena",$N$304,0)</f>
        <v>0</v>
      </c>
      <c r="BI304" s="82">
        <f>IF($U$304="nulová",$N$304,0)</f>
        <v>0</v>
      </c>
      <c r="BJ304" s="6" t="s">
        <v>103</v>
      </c>
    </row>
    <row r="305" spans="2:62" s="6" customFormat="1" ht="27" customHeight="1">
      <c r="B305" s="22"/>
      <c r="C305" s="134" t="s">
        <v>629</v>
      </c>
      <c r="D305" s="134" t="s">
        <v>201</v>
      </c>
      <c r="E305" s="135" t="s">
        <v>630</v>
      </c>
      <c r="F305" s="214" t="s">
        <v>631</v>
      </c>
      <c r="G305" s="215"/>
      <c r="H305" s="215"/>
      <c r="I305" s="215"/>
      <c r="J305" s="136" t="s">
        <v>260</v>
      </c>
      <c r="K305" s="137">
        <v>2</v>
      </c>
      <c r="L305" s="216">
        <v>0</v>
      </c>
      <c r="M305" s="215"/>
      <c r="N305" s="217">
        <f>ROUND($L$305*$K$305,2)</f>
        <v>0</v>
      </c>
      <c r="O305" s="211"/>
      <c r="P305" s="211"/>
      <c r="Q305" s="211"/>
      <c r="R305" s="24"/>
      <c r="T305" s="131"/>
      <c r="U305" s="30" t="s">
        <v>40</v>
      </c>
      <c r="V305" s="132">
        <v>0</v>
      </c>
      <c r="W305" s="132">
        <f>$V$305*$K$305</f>
        <v>0</v>
      </c>
      <c r="X305" s="132">
        <v>0.0249</v>
      </c>
      <c r="Y305" s="132">
        <f>$X$305*$K$305</f>
        <v>0.0498</v>
      </c>
      <c r="Z305" s="132">
        <v>0</v>
      </c>
      <c r="AA305" s="133">
        <f>$Z$305*$K$305</f>
        <v>0</v>
      </c>
      <c r="AR305" s="6" t="s">
        <v>194</v>
      </c>
      <c r="AT305" s="6" t="s">
        <v>201</v>
      </c>
      <c r="AU305" s="6" t="s">
        <v>103</v>
      </c>
      <c r="AY305" s="6" t="s">
        <v>172</v>
      </c>
      <c r="BE305" s="82">
        <f>IF($U$305="základní",$N$305,0)</f>
        <v>0</v>
      </c>
      <c r="BF305" s="82">
        <f>IF($U$305="snížená",$N$305,0)</f>
        <v>0</v>
      </c>
      <c r="BG305" s="82">
        <f>IF($U$305="zákl. přenesena",$N$305,0)</f>
        <v>0</v>
      </c>
      <c r="BH305" s="82">
        <f>IF($U$305="sníž. přenesena",$N$305,0)</f>
        <v>0</v>
      </c>
      <c r="BI305" s="82">
        <f>IF($U$305="nulová",$N$305,0)</f>
        <v>0</v>
      </c>
      <c r="BJ305" s="6" t="s">
        <v>103</v>
      </c>
    </row>
    <row r="306" spans="2:62" s="6" customFormat="1" ht="27" customHeight="1">
      <c r="B306" s="22"/>
      <c r="C306" s="127" t="s">
        <v>632</v>
      </c>
      <c r="D306" s="127" t="s">
        <v>173</v>
      </c>
      <c r="E306" s="128" t="s">
        <v>633</v>
      </c>
      <c r="F306" s="210" t="s">
        <v>634</v>
      </c>
      <c r="G306" s="211"/>
      <c r="H306" s="211"/>
      <c r="I306" s="211"/>
      <c r="J306" s="129" t="s">
        <v>260</v>
      </c>
      <c r="K306" s="130">
        <v>53</v>
      </c>
      <c r="L306" s="212">
        <v>0</v>
      </c>
      <c r="M306" s="211"/>
      <c r="N306" s="213">
        <f>ROUND($L$306*$K$306,2)</f>
        <v>0</v>
      </c>
      <c r="O306" s="211"/>
      <c r="P306" s="211"/>
      <c r="Q306" s="211"/>
      <c r="R306" s="24"/>
      <c r="T306" s="131"/>
      <c r="U306" s="30" t="s">
        <v>40</v>
      </c>
      <c r="V306" s="132">
        <v>0.034</v>
      </c>
      <c r="W306" s="132">
        <f>$V$306*$K$306</f>
        <v>1.802</v>
      </c>
      <c r="X306" s="132">
        <v>0</v>
      </c>
      <c r="Y306" s="132">
        <f>$X$306*$K$306</f>
        <v>0</v>
      </c>
      <c r="Z306" s="132">
        <v>0</v>
      </c>
      <c r="AA306" s="133">
        <f>$Z$306*$K$306</f>
        <v>0</v>
      </c>
      <c r="AR306" s="6" t="s">
        <v>218</v>
      </c>
      <c r="AT306" s="6" t="s">
        <v>173</v>
      </c>
      <c r="AU306" s="6" t="s">
        <v>103</v>
      </c>
      <c r="AY306" s="6" t="s">
        <v>172</v>
      </c>
      <c r="BE306" s="82">
        <f>IF($U$306="základní",$N$306,0)</f>
        <v>0</v>
      </c>
      <c r="BF306" s="82">
        <f>IF($U$306="snížená",$N$306,0)</f>
        <v>0</v>
      </c>
      <c r="BG306" s="82">
        <f>IF($U$306="zákl. přenesena",$N$306,0)</f>
        <v>0</v>
      </c>
      <c r="BH306" s="82">
        <f>IF($U$306="sníž. přenesena",$N$306,0)</f>
        <v>0</v>
      </c>
      <c r="BI306" s="82">
        <f>IF($U$306="nulová",$N$306,0)</f>
        <v>0</v>
      </c>
      <c r="BJ306" s="6" t="s">
        <v>103</v>
      </c>
    </row>
    <row r="307" spans="2:62" s="6" customFormat="1" ht="39" customHeight="1">
      <c r="B307" s="22"/>
      <c r="C307" s="127" t="s">
        <v>635</v>
      </c>
      <c r="D307" s="127" t="s">
        <v>173</v>
      </c>
      <c r="E307" s="128" t="s">
        <v>636</v>
      </c>
      <c r="F307" s="210" t="s">
        <v>637</v>
      </c>
      <c r="G307" s="211"/>
      <c r="H307" s="211"/>
      <c r="I307" s="211"/>
      <c r="J307" s="129" t="s">
        <v>260</v>
      </c>
      <c r="K307" s="130">
        <v>1</v>
      </c>
      <c r="L307" s="212">
        <v>0</v>
      </c>
      <c r="M307" s="211"/>
      <c r="N307" s="213">
        <f>ROUND($L$307*$K$307,2)</f>
        <v>0</v>
      </c>
      <c r="O307" s="211"/>
      <c r="P307" s="211"/>
      <c r="Q307" s="211"/>
      <c r="R307" s="24"/>
      <c r="T307" s="131"/>
      <c r="U307" s="30" t="s">
        <v>40</v>
      </c>
      <c r="V307" s="132">
        <v>1.954</v>
      </c>
      <c r="W307" s="132">
        <f>$V$307*$K$307</f>
        <v>1.954</v>
      </c>
      <c r="X307" s="132">
        <v>0</v>
      </c>
      <c r="Y307" s="132">
        <f>$X$307*$K$307</f>
        <v>0</v>
      </c>
      <c r="Z307" s="132">
        <v>0</v>
      </c>
      <c r="AA307" s="133">
        <f>$Z$307*$K$307</f>
        <v>0</v>
      </c>
      <c r="AR307" s="6" t="s">
        <v>218</v>
      </c>
      <c r="AT307" s="6" t="s">
        <v>173</v>
      </c>
      <c r="AU307" s="6" t="s">
        <v>103</v>
      </c>
      <c r="AY307" s="6" t="s">
        <v>172</v>
      </c>
      <c r="BE307" s="82">
        <f>IF($U$307="základní",$N$307,0)</f>
        <v>0</v>
      </c>
      <c r="BF307" s="82">
        <f>IF($U$307="snížená",$N$307,0)</f>
        <v>0</v>
      </c>
      <c r="BG307" s="82">
        <f>IF($U$307="zákl. přenesena",$N$307,0)</f>
        <v>0</v>
      </c>
      <c r="BH307" s="82">
        <f>IF($U$307="sníž. přenesena",$N$307,0)</f>
        <v>0</v>
      </c>
      <c r="BI307" s="82">
        <f>IF($U$307="nulová",$N$307,0)</f>
        <v>0</v>
      </c>
      <c r="BJ307" s="6" t="s">
        <v>103</v>
      </c>
    </row>
    <row r="308" spans="2:62" s="6" customFormat="1" ht="39" customHeight="1">
      <c r="B308" s="22"/>
      <c r="C308" s="134" t="s">
        <v>638</v>
      </c>
      <c r="D308" s="134" t="s">
        <v>201</v>
      </c>
      <c r="E308" s="135" t="s">
        <v>639</v>
      </c>
      <c r="F308" s="214" t="s">
        <v>640</v>
      </c>
      <c r="G308" s="215"/>
      <c r="H308" s="215"/>
      <c r="I308" s="215"/>
      <c r="J308" s="136" t="s">
        <v>260</v>
      </c>
      <c r="K308" s="137">
        <v>1</v>
      </c>
      <c r="L308" s="216">
        <v>0</v>
      </c>
      <c r="M308" s="215"/>
      <c r="N308" s="217">
        <f>ROUND($L$308*$K$308,2)</f>
        <v>0</v>
      </c>
      <c r="O308" s="211"/>
      <c r="P308" s="211"/>
      <c r="Q308" s="211"/>
      <c r="R308" s="24"/>
      <c r="T308" s="131"/>
      <c r="U308" s="30" t="s">
        <v>40</v>
      </c>
      <c r="V308" s="132">
        <v>0</v>
      </c>
      <c r="W308" s="132">
        <f>$V$308*$K$308</f>
        <v>0</v>
      </c>
      <c r="X308" s="132">
        <v>0</v>
      </c>
      <c r="Y308" s="132">
        <f>$X$308*$K$308</f>
        <v>0</v>
      </c>
      <c r="Z308" s="132">
        <v>0</v>
      </c>
      <c r="AA308" s="133">
        <f>$Z$308*$K$308</f>
        <v>0</v>
      </c>
      <c r="AR308" s="6" t="s">
        <v>267</v>
      </c>
      <c r="AT308" s="6" t="s">
        <v>201</v>
      </c>
      <c r="AU308" s="6" t="s">
        <v>103</v>
      </c>
      <c r="AY308" s="6" t="s">
        <v>172</v>
      </c>
      <c r="BE308" s="82">
        <f>IF($U$308="základní",$N$308,0)</f>
        <v>0</v>
      </c>
      <c r="BF308" s="82">
        <f>IF($U$308="snížená",$N$308,0)</f>
        <v>0</v>
      </c>
      <c r="BG308" s="82">
        <f>IF($U$308="zákl. přenesena",$N$308,0)</f>
        <v>0</v>
      </c>
      <c r="BH308" s="82">
        <f>IF($U$308="sníž. přenesena",$N$308,0)</f>
        <v>0</v>
      </c>
      <c r="BI308" s="82">
        <f>IF($U$308="nulová",$N$308,0)</f>
        <v>0</v>
      </c>
      <c r="BJ308" s="6" t="s">
        <v>103</v>
      </c>
    </row>
    <row r="309" spans="2:62" s="6" customFormat="1" ht="27" customHeight="1">
      <c r="B309" s="22"/>
      <c r="C309" s="127" t="s">
        <v>641</v>
      </c>
      <c r="D309" s="127" t="s">
        <v>173</v>
      </c>
      <c r="E309" s="128" t="s">
        <v>642</v>
      </c>
      <c r="F309" s="210" t="s">
        <v>643</v>
      </c>
      <c r="G309" s="211"/>
      <c r="H309" s="211"/>
      <c r="I309" s="211"/>
      <c r="J309" s="129" t="s">
        <v>260</v>
      </c>
      <c r="K309" s="130">
        <v>1</v>
      </c>
      <c r="L309" s="212">
        <v>0</v>
      </c>
      <c r="M309" s="211"/>
      <c r="N309" s="213">
        <f>ROUND($L$309*$K$309,2)</f>
        <v>0</v>
      </c>
      <c r="O309" s="211"/>
      <c r="P309" s="211"/>
      <c r="Q309" s="211"/>
      <c r="R309" s="24"/>
      <c r="T309" s="131"/>
      <c r="U309" s="30" t="s">
        <v>40</v>
      </c>
      <c r="V309" s="132">
        <v>1.282</v>
      </c>
      <c r="W309" s="132">
        <f>$V$309*$K$309</f>
        <v>1.282</v>
      </c>
      <c r="X309" s="132">
        <v>0</v>
      </c>
      <c r="Y309" s="132">
        <f>$X$309*$K$309</f>
        <v>0</v>
      </c>
      <c r="Z309" s="132">
        <v>0</v>
      </c>
      <c r="AA309" s="133">
        <f>$Z$309*$K$309</f>
        <v>0</v>
      </c>
      <c r="AR309" s="6" t="s">
        <v>218</v>
      </c>
      <c r="AT309" s="6" t="s">
        <v>173</v>
      </c>
      <c r="AU309" s="6" t="s">
        <v>103</v>
      </c>
      <c r="AY309" s="6" t="s">
        <v>172</v>
      </c>
      <c r="BE309" s="82">
        <f>IF($U$309="základní",$N$309,0)</f>
        <v>0</v>
      </c>
      <c r="BF309" s="82">
        <f>IF($U$309="snížená",$N$309,0)</f>
        <v>0</v>
      </c>
      <c r="BG309" s="82">
        <f>IF($U$309="zákl. přenesena",$N$309,0)</f>
        <v>0</v>
      </c>
      <c r="BH309" s="82">
        <f>IF($U$309="sníž. přenesena",$N$309,0)</f>
        <v>0</v>
      </c>
      <c r="BI309" s="82">
        <f>IF($U$309="nulová",$N$309,0)</f>
        <v>0</v>
      </c>
      <c r="BJ309" s="6" t="s">
        <v>103</v>
      </c>
    </row>
    <row r="310" spans="2:62" s="6" customFormat="1" ht="27" customHeight="1">
      <c r="B310" s="22"/>
      <c r="C310" s="127" t="s">
        <v>644</v>
      </c>
      <c r="D310" s="127" t="s">
        <v>173</v>
      </c>
      <c r="E310" s="128" t="s">
        <v>645</v>
      </c>
      <c r="F310" s="210" t="s">
        <v>646</v>
      </c>
      <c r="G310" s="211"/>
      <c r="H310" s="211"/>
      <c r="I310" s="211"/>
      <c r="J310" s="129" t="s">
        <v>260</v>
      </c>
      <c r="K310" s="130">
        <v>1</v>
      </c>
      <c r="L310" s="212">
        <v>0</v>
      </c>
      <c r="M310" s="211"/>
      <c r="N310" s="213">
        <f>ROUND($L$310*$K$310,2)</f>
        <v>0</v>
      </c>
      <c r="O310" s="211"/>
      <c r="P310" s="211"/>
      <c r="Q310" s="211"/>
      <c r="R310" s="24"/>
      <c r="T310" s="131"/>
      <c r="U310" s="30" t="s">
        <v>40</v>
      </c>
      <c r="V310" s="132">
        <v>4.123</v>
      </c>
      <c r="W310" s="132">
        <f>$V$310*$K$310</f>
        <v>4.123</v>
      </c>
      <c r="X310" s="132">
        <v>0.00045</v>
      </c>
      <c r="Y310" s="132">
        <f>$X$310*$K$310</f>
        <v>0.00045</v>
      </c>
      <c r="Z310" s="132">
        <v>0</v>
      </c>
      <c r="AA310" s="133">
        <f>$Z$310*$K$310</f>
        <v>0</v>
      </c>
      <c r="AR310" s="6" t="s">
        <v>218</v>
      </c>
      <c r="AT310" s="6" t="s">
        <v>173</v>
      </c>
      <c r="AU310" s="6" t="s">
        <v>103</v>
      </c>
      <c r="AY310" s="6" t="s">
        <v>172</v>
      </c>
      <c r="BE310" s="82">
        <f>IF($U$310="základní",$N$310,0)</f>
        <v>0</v>
      </c>
      <c r="BF310" s="82">
        <f>IF($U$310="snížená",$N$310,0)</f>
        <v>0</v>
      </c>
      <c r="BG310" s="82">
        <f>IF($U$310="zákl. přenesena",$N$310,0)</f>
        <v>0</v>
      </c>
      <c r="BH310" s="82">
        <f>IF($U$310="sníž. přenesena",$N$310,0)</f>
        <v>0</v>
      </c>
      <c r="BI310" s="82">
        <f>IF($U$310="nulová",$N$310,0)</f>
        <v>0</v>
      </c>
      <c r="BJ310" s="6" t="s">
        <v>103</v>
      </c>
    </row>
    <row r="311" spans="2:62" s="6" customFormat="1" ht="27" customHeight="1">
      <c r="B311" s="22"/>
      <c r="C311" s="127" t="s">
        <v>647</v>
      </c>
      <c r="D311" s="127" t="s">
        <v>173</v>
      </c>
      <c r="E311" s="128" t="s">
        <v>648</v>
      </c>
      <c r="F311" s="210" t="s">
        <v>649</v>
      </c>
      <c r="G311" s="211"/>
      <c r="H311" s="211"/>
      <c r="I311" s="211"/>
      <c r="J311" s="129" t="s">
        <v>260</v>
      </c>
      <c r="K311" s="130">
        <v>2</v>
      </c>
      <c r="L311" s="212">
        <v>0</v>
      </c>
      <c r="M311" s="211"/>
      <c r="N311" s="213">
        <f>ROUND($L$311*$K$311,2)</f>
        <v>0</v>
      </c>
      <c r="O311" s="211"/>
      <c r="P311" s="211"/>
      <c r="Q311" s="211"/>
      <c r="R311" s="24"/>
      <c r="T311" s="131"/>
      <c r="U311" s="30" t="s">
        <v>40</v>
      </c>
      <c r="V311" s="132">
        <v>0.05</v>
      </c>
      <c r="W311" s="132">
        <f>$V$311*$K$311</f>
        <v>0.1</v>
      </c>
      <c r="X311" s="132">
        <v>0</v>
      </c>
      <c r="Y311" s="132">
        <f>$X$311*$K$311</f>
        <v>0</v>
      </c>
      <c r="Z311" s="132">
        <v>0.024</v>
      </c>
      <c r="AA311" s="133">
        <f>$Z$311*$K$311</f>
        <v>0.048</v>
      </c>
      <c r="AR311" s="6" t="s">
        <v>218</v>
      </c>
      <c r="AT311" s="6" t="s">
        <v>173</v>
      </c>
      <c r="AU311" s="6" t="s">
        <v>103</v>
      </c>
      <c r="AY311" s="6" t="s">
        <v>172</v>
      </c>
      <c r="BE311" s="82">
        <f>IF($U$311="základní",$N$311,0)</f>
        <v>0</v>
      </c>
      <c r="BF311" s="82">
        <f>IF($U$311="snížená",$N$311,0)</f>
        <v>0</v>
      </c>
      <c r="BG311" s="82">
        <f>IF($U$311="zákl. přenesena",$N$311,0)</f>
        <v>0</v>
      </c>
      <c r="BH311" s="82">
        <f>IF($U$311="sníž. přenesena",$N$311,0)</f>
        <v>0</v>
      </c>
      <c r="BI311" s="82">
        <f>IF($U$311="nulová",$N$311,0)</f>
        <v>0</v>
      </c>
      <c r="BJ311" s="6" t="s">
        <v>103</v>
      </c>
    </row>
    <row r="312" spans="2:62" s="6" customFormat="1" ht="27" customHeight="1">
      <c r="B312" s="22"/>
      <c r="C312" s="127" t="s">
        <v>650</v>
      </c>
      <c r="D312" s="127" t="s">
        <v>173</v>
      </c>
      <c r="E312" s="128" t="s">
        <v>651</v>
      </c>
      <c r="F312" s="210" t="s">
        <v>652</v>
      </c>
      <c r="G312" s="211"/>
      <c r="H312" s="211"/>
      <c r="I312" s="211"/>
      <c r="J312" s="129" t="s">
        <v>260</v>
      </c>
      <c r="K312" s="130">
        <v>9</v>
      </c>
      <c r="L312" s="212">
        <v>0</v>
      </c>
      <c r="M312" s="211"/>
      <c r="N312" s="213">
        <f>ROUND($L$312*$K$312,2)</f>
        <v>0</v>
      </c>
      <c r="O312" s="211"/>
      <c r="P312" s="211"/>
      <c r="Q312" s="211"/>
      <c r="R312" s="24"/>
      <c r="T312" s="131"/>
      <c r="U312" s="30" t="s">
        <v>40</v>
      </c>
      <c r="V312" s="132">
        <v>0.464</v>
      </c>
      <c r="W312" s="132">
        <f>$V$312*$K$312</f>
        <v>4.176</v>
      </c>
      <c r="X312" s="132">
        <v>0</v>
      </c>
      <c r="Y312" s="132">
        <f>$X$312*$K$312</f>
        <v>0</v>
      </c>
      <c r="Z312" s="132">
        <v>0</v>
      </c>
      <c r="AA312" s="133">
        <f>$Z$312*$K$312</f>
        <v>0</v>
      </c>
      <c r="AR312" s="6" t="s">
        <v>218</v>
      </c>
      <c r="AT312" s="6" t="s">
        <v>173</v>
      </c>
      <c r="AU312" s="6" t="s">
        <v>103</v>
      </c>
      <c r="AY312" s="6" t="s">
        <v>172</v>
      </c>
      <c r="BE312" s="82">
        <f>IF($U$312="základní",$N$312,0)</f>
        <v>0</v>
      </c>
      <c r="BF312" s="82">
        <f>IF($U$312="snížená",$N$312,0)</f>
        <v>0</v>
      </c>
      <c r="BG312" s="82">
        <f>IF($U$312="zákl. přenesena",$N$312,0)</f>
        <v>0</v>
      </c>
      <c r="BH312" s="82">
        <f>IF($U$312="sníž. přenesena",$N$312,0)</f>
        <v>0</v>
      </c>
      <c r="BI312" s="82">
        <f>IF($U$312="nulová",$N$312,0)</f>
        <v>0</v>
      </c>
      <c r="BJ312" s="6" t="s">
        <v>103</v>
      </c>
    </row>
    <row r="313" spans="2:62" s="6" customFormat="1" ht="27" customHeight="1">
      <c r="B313" s="22"/>
      <c r="C313" s="134" t="s">
        <v>653</v>
      </c>
      <c r="D313" s="134" t="s">
        <v>201</v>
      </c>
      <c r="E313" s="135" t="s">
        <v>654</v>
      </c>
      <c r="F313" s="214" t="s">
        <v>655</v>
      </c>
      <c r="G313" s="215"/>
      <c r="H313" s="215"/>
      <c r="I313" s="215"/>
      <c r="J313" s="136" t="s">
        <v>247</v>
      </c>
      <c r="K313" s="137">
        <v>12.5</v>
      </c>
      <c r="L313" s="216">
        <v>0</v>
      </c>
      <c r="M313" s="215"/>
      <c r="N313" s="217">
        <f>ROUND($L$313*$K$313,2)</f>
        <v>0</v>
      </c>
      <c r="O313" s="211"/>
      <c r="P313" s="211"/>
      <c r="Q313" s="211"/>
      <c r="R313" s="24"/>
      <c r="T313" s="131"/>
      <c r="U313" s="30" t="s">
        <v>40</v>
      </c>
      <c r="V313" s="132">
        <v>0</v>
      </c>
      <c r="W313" s="132">
        <f>$V$313*$K$313</f>
        <v>0</v>
      </c>
      <c r="X313" s="132">
        <v>0.005</v>
      </c>
      <c r="Y313" s="132">
        <f>$X$313*$K$313</f>
        <v>0.0625</v>
      </c>
      <c r="Z313" s="132">
        <v>0</v>
      </c>
      <c r="AA313" s="133">
        <f>$Z$313*$K$313</f>
        <v>0</v>
      </c>
      <c r="AR313" s="6" t="s">
        <v>267</v>
      </c>
      <c r="AT313" s="6" t="s">
        <v>201</v>
      </c>
      <c r="AU313" s="6" t="s">
        <v>103</v>
      </c>
      <c r="AY313" s="6" t="s">
        <v>172</v>
      </c>
      <c r="BE313" s="82">
        <f>IF($U$313="základní",$N$313,0)</f>
        <v>0</v>
      </c>
      <c r="BF313" s="82">
        <f>IF($U$313="snížená",$N$313,0)</f>
        <v>0</v>
      </c>
      <c r="BG313" s="82">
        <f>IF($U$313="zákl. přenesena",$N$313,0)</f>
        <v>0</v>
      </c>
      <c r="BH313" s="82">
        <f>IF($U$313="sníž. přenesena",$N$313,0)</f>
        <v>0</v>
      </c>
      <c r="BI313" s="82">
        <f>IF($U$313="nulová",$N$313,0)</f>
        <v>0</v>
      </c>
      <c r="BJ313" s="6" t="s">
        <v>103</v>
      </c>
    </row>
    <row r="314" spans="2:62" s="6" customFormat="1" ht="15.75" customHeight="1">
      <c r="B314" s="22"/>
      <c r="C314" s="134" t="s">
        <v>656</v>
      </c>
      <c r="D314" s="134" t="s">
        <v>201</v>
      </c>
      <c r="E314" s="135" t="s">
        <v>657</v>
      </c>
      <c r="F314" s="214" t="s">
        <v>658</v>
      </c>
      <c r="G314" s="215"/>
      <c r="H314" s="215"/>
      <c r="I314" s="215"/>
      <c r="J314" s="136" t="s">
        <v>260</v>
      </c>
      <c r="K314" s="137">
        <v>18</v>
      </c>
      <c r="L314" s="216">
        <v>0</v>
      </c>
      <c r="M314" s="215"/>
      <c r="N314" s="217">
        <f>ROUND($L$314*$K$314,2)</f>
        <v>0</v>
      </c>
      <c r="O314" s="211"/>
      <c r="P314" s="211"/>
      <c r="Q314" s="211"/>
      <c r="R314" s="24"/>
      <c r="T314" s="131"/>
      <c r="U314" s="30" t="s">
        <v>40</v>
      </c>
      <c r="V314" s="132">
        <v>0</v>
      </c>
      <c r="W314" s="132">
        <f>$V$314*$K$314</f>
        <v>0</v>
      </c>
      <c r="X314" s="132">
        <v>6E-05</v>
      </c>
      <c r="Y314" s="132">
        <f>$X$314*$K$314</f>
        <v>0.00108</v>
      </c>
      <c r="Z314" s="132">
        <v>0</v>
      </c>
      <c r="AA314" s="133">
        <f>$Z$314*$K$314</f>
        <v>0</v>
      </c>
      <c r="AR314" s="6" t="s">
        <v>267</v>
      </c>
      <c r="AT314" s="6" t="s">
        <v>201</v>
      </c>
      <c r="AU314" s="6" t="s">
        <v>103</v>
      </c>
      <c r="AY314" s="6" t="s">
        <v>172</v>
      </c>
      <c r="BE314" s="82">
        <f>IF($U$314="základní",$N$314,0)</f>
        <v>0</v>
      </c>
      <c r="BF314" s="82">
        <f>IF($U$314="snížená",$N$314,0)</f>
        <v>0</v>
      </c>
      <c r="BG314" s="82">
        <f>IF($U$314="zákl. přenesena",$N$314,0)</f>
        <v>0</v>
      </c>
      <c r="BH314" s="82">
        <f>IF($U$314="sníž. přenesena",$N$314,0)</f>
        <v>0</v>
      </c>
      <c r="BI314" s="82">
        <f>IF($U$314="nulová",$N$314,0)</f>
        <v>0</v>
      </c>
      <c r="BJ314" s="6" t="s">
        <v>103</v>
      </c>
    </row>
    <row r="315" spans="2:62" s="6" customFormat="1" ht="27" customHeight="1">
      <c r="B315" s="22"/>
      <c r="C315" s="127" t="s">
        <v>659</v>
      </c>
      <c r="D315" s="127" t="s">
        <v>173</v>
      </c>
      <c r="E315" s="128" t="s">
        <v>660</v>
      </c>
      <c r="F315" s="210" t="s">
        <v>661</v>
      </c>
      <c r="G315" s="211"/>
      <c r="H315" s="211"/>
      <c r="I315" s="211"/>
      <c r="J315" s="129" t="s">
        <v>468</v>
      </c>
      <c r="K315" s="138">
        <v>0</v>
      </c>
      <c r="L315" s="212">
        <v>0</v>
      </c>
      <c r="M315" s="211"/>
      <c r="N315" s="213">
        <f>ROUND($L$315*$K$315,2)</f>
        <v>0</v>
      </c>
      <c r="O315" s="211"/>
      <c r="P315" s="211"/>
      <c r="Q315" s="211"/>
      <c r="R315" s="24"/>
      <c r="T315" s="131"/>
      <c r="U315" s="30" t="s">
        <v>40</v>
      </c>
      <c r="V315" s="132">
        <v>0</v>
      </c>
      <c r="W315" s="132">
        <f>$V$315*$K$315</f>
        <v>0</v>
      </c>
      <c r="X315" s="132">
        <v>0</v>
      </c>
      <c r="Y315" s="132">
        <f>$X$315*$K$315</f>
        <v>0</v>
      </c>
      <c r="Z315" s="132">
        <v>0</v>
      </c>
      <c r="AA315" s="133">
        <f>$Z$315*$K$315</f>
        <v>0</v>
      </c>
      <c r="AR315" s="6" t="s">
        <v>218</v>
      </c>
      <c r="AT315" s="6" t="s">
        <v>173</v>
      </c>
      <c r="AU315" s="6" t="s">
        <v>103</v>
      </c>
      <c r="AY315" s="6" t="s">
        <v>172</v>
      </c>
      <c r="BE315" s="82">
        <f>IF($U$315="základní",$N$315,0)</f>
        <v>0</v>
      </c>
      <c r="BF315" s="82">
        <f>IF($U$315="snížená",$N$315,0)</f>
        <v>0</v>
      </c>
      <c r="BG315" s="82">
        <f>IF($U$315="zákl. přenesena",$N$315,0)</f>
        <v>0</v>
      </c>
      <c r="BH315" s="82">
        <f>IF($U$315="sníž. přenesena",$N$315,0)</f>
        <v>0</v>
      </c>
      <c r="BI315" s="82">
        <f>IF($U$315="nulová",$N$315,0)</f>
        <v>0</v>
      </c>
      <c r="BJ315" s="6" t="s">
        <v>103</v>
      </c>
    </row>
    <row r="316" spans="2:51" s="117" customFormat="1" ht="30.75" customHeight="1">
      <c r="B316" s="118"/>
      <c r="C316" s="119"/>
      <c r="D316" s="126" t="s">
        <v>141</v>
      </c>
      <c r="E316" s="119"/>
      <c r="F316" s="119"/>
      <c r="G316" s="119"/>
      <c r="H316" s="119"/>
      <c r="I316" s="119"/>
      <c r="J316" s="119"/>
      <c r="K316" s="119"/>
      <c r="L316" s="119"/>
      <c r="M316" s="119"/>
      <c r="N316" s="221">
        <f>SUM($N$317:$N$324)</f>
        <v>0</v>
      </c>
      <c r="O316" s="220"/>
      <c r="P316" s="220"/>
      <c r="Q316" s="220"/>
      <c r="R316" s="121"/>
      <c r="T316" s="122"/>
      <c r="U316" s="119"/>
      <c r="V316" s="119"/>
      <c r="W316" s="123">
        <f>SUM($W$317:$W$324)</f>
        <v>216.3492</v>
      </c>
      <c r="X316" s="119"/>
      <c r="Y316" s="123">
        <f>SUM($Y$317:$Y$324)</f>
        <v>0.0745432</v>
      </c>
      <c r="Z316" s="119"/>
      <c r="AA316" s="124">
        <f>SUM($AA$317:$AA$324)</f>
        <v>0.675</v>
      </c>
      <c r="AR316" s="125" t="s">
        <v>103</v>
      </c>
      <c r="AT316" s="125" t="s">
        <v>72</v>
      </c>
      <c r="AU316" s="125" t="s">
        <v>17</v>
      </c>
      <c r="AY316" s="125" t="s">
        <v>172</v>
      </c>
    </row>
    <row r="317" spans="2:62" s="6" customFormat="1" ht="27" customHeight="1">
      <c r="B317" s="22"/>
      <c r="C317" s="127" t="s">
        <v>662</v>
      </c>
      <c r="D317" s="127" t="s">
        <v>173</v>
      </c>
      <c r="E317" s="128" t="s">
        <v>663</v>
      </c>
      <c r="F317" s="210" t="s">
        <v>664</v>
      </c>
      <c r="G317" s="211"/>
      <c r="H317" s="211"/>
      <c r="I317" s="211"/>
      <c r="J317" s="129" t="s">
        <v>260</v>
      </c>
      <c r="K317" s="130">
        <v>14</v>
      </c>
      <c r="L317" s="212">
        <v>0</v>
      </c>
      <c r="M317" s="211"/>
      <c r="N317" s="213">
        <f>ROUND($L$317*$K$317,2)</f>
        <v>0</v>
      </c>
      <c r="O317" s="211"/>
      <c r="P317" s="211"/>
      <c r="Q317" s="211"/>
      <c r="R317" s="24"/>
      <c r="T317" s="131"/>
      <c r="U317" s="30" t="s">
        <v>40</v>
      </c>
      <c r="V317" s="132">
        <v>0.049</v>
      </c>
      <c r="W317" s="132">
        <f>$V$317*$K$317</f>
        <v>0.686</v>
      </c>
      <c r="X317" s="132">
        <v>0</v>
      </c>
      <c r="Y317" s="132">
        <f>$X$317*$K$317</f>
        <v>0</v>
      </c>
      <c r="Z317" s="132">
        <v>0</v>
      </c>
      <c r="AA317" s="133">
        <f>$Z$317*$K$317</f>
        <v>0</v>
      </c>
      <c r="AR317" s="6" t="s">
        <v>218</v>
      </c>
      <c r="AT317" s="6" t="s">
        <v>173</v>
      </c>
      <c r="AU317" s="6" t="s">
        <v>103</v>
      </c>
      <c r="AY317" s="6" t="s">
        <v>172</v>
      </c>
      <c r="BE317" s="82">
        <f>IF($U$317="základní",$N$317,0)</f>
        <v>0</v>
      </c>
      <c r="BF317" s="82">
        <f>IF($U$317="snížená",$N$317,0)</f>
        <v>0</v>
      </c>
      <c r="BG317" s="82">
        <f>IF($U$317="zákl. přenesena",$N$317,0)</f>
        <v>0</v>
      </c>
      <c r="BH317" s="82">
        <f>IF($U$317="sníž. přenesena",$N$317,0)</f>
        <v>0</v>
      </c>
      <c r="BI317" s="82">
        <f>IF($U$317="nulová",$N$317,0)</f>
        <v>0</v>
      </c>
      <c r="BJ317" s="6" t="s">
        <v>103</v>
      </c>
    </row>
    <row r="318" spans="2:62" s="6" customFormat="1" ht="27" customHeight="1">
      <c r="B318" s="22"/>
      <c r="C318" s="127" t="s">
        <v>665</v>
      </c>
      <c r="D318" s="127" t="s">
        <v>173</v>
      </c>
      <c r="E318" s="128" t="s">
        <v>666</v>
      </c>
      <c r="F318" s="210" t="s">
        <v>667</v>
      </c>
      <c r="G318" s="211"/>
      <c r="H318" s="211"/>
      <c r="I318" s="211"/>
      <c r="J318" s="129" t="s">
        <v>475</v>
      </c>
      <c r="K318" s="130">
        <v>7</v>
      </c>
      <c r="L318" s="212">
        <v>0</v>
      </c>
      <c r="M318" s="211"/>
      <c r="N318" s="213">
        <f>ROUND($L$318*$K$318,2)</f>
        <v>0</v>
      </c>
      <c r="O318" s="211"/>
      <c r="P318" s="211"/>
      <c r="Q318" s="211"/>
      <c r="R318" s="24"/>
      <c r="T318" s="131"/>
      <c r="U318" s="30" t="s">
        <v>40</v>
      </c>
      <c r="V318" s="132">
        <v>0.426</v>
      </c>
      <c r="W318" s="132">
        <f>$V$318*$K$318</f>
        <v>2.9819999999999998</v>
      </c>
      <c r="X318" s="132">
        <v>7E-05</v>
      </c>
      <c r="Y318" s="132">
        <f>$X$318*$K$318</f>
        <v>0.00049</v>
      </c>
      <c r="Z318" s="132">
        <v>0</v>
      </c>
      <c r="AA318" s="133">
        <f>$Z$318*$K$318</f>
        <v>0</v>
      </c>
      <c r="AR318" s="6" t="s">
        <v>218</v>
      </c>
      <c r="AT318" s="6" t="s">
        <v>173</v>
      </c>
      <c r="AU318" s="6" t="s">
        <v>103</v>
      </c>
      <c r="AY318" s="6" t="s">
        <v>172</v>
      </c>
      <c r="BE318" s="82">
        <f>IF($U$318="základní",$N$318,0)</f>
        <v>0</v>
      </c>
      <c r="BF318" s="82">
        <f>IF($U$318="snížená",$N$318,0)</f>
        <v>0</v>
      </c>
      <c r="BG318" s="82">
        <f>IF($U$318="zákl. přenesena",$N$318,0)</f>
        <v>0</v>
      </c>
      <c r="BH318" s="82">
        <f>IF($U$318="sníž. přenesena",$N$318,0)</f>
        <v>0</v>
      </c>
      <c r="BI318" s="82">
        <f>IF($U$318="nulová",$N$318,0)</f>
        <v>0</v>
      </c>
      <c r="BJ318" s="6" t="s">
        <v>103</v>
      </c>
    </row>
    <row r="319" spans="2:62" s="6" customFormat="1" ht="27" customHeight="1">
      <c r="B319" s="22"/>
      <c r="C319" s="127" t="s">
        <v>668</v>
      </c>
      <c r="D319" s="127" t="s">
        <v>173</v>
      </c>
      <c r="E319" s="128" t="s">
        <v>669</v>
      </c>
      <c r="F319" s="210" t="s">
        <v>670</v>
      </c>
      <c r="G319" s="211"/>
      <c r="H319" s="211"/>
      <c r="I319" s="211"/>
      <c r="J319" s="129" t="s">
        <v>475</v>
      </c>
      <c r="K319" s="130">
        <v>130</v>
      </c>
      <c r="L319" s="212">
        <v>0</v>
      </c>
      <c r="M319" s="211"/>
      <c r="N319" s="213">
        <f>ROUND($L$319*$K$319,2)</f>
        <v>0</v>
      </c>
      <c r="O319" s="211"/>
      <c r="P319" s="211"/>
      <c r="Q319" s="211"/>
      <c r="R319" s="24"/>
      <c r="T319" s="131"/>
      <c r="U319" s="30" t="s">
        <v>40</v>
      </c>
      <c r="V319" s="132">
        <v>0.304</v>
      </c>
      <c r="W319" s="132">
        <f>$V$319*$K$319</f>
        <v>39.519999999999996</v>
      </c>
      <c r="X319" s="132">
        <v>6E-05</v>
      </c>
      <c r="Y319" s="132">
        <f>$X$319*$K$319</f>
        <v>0.0078000000000000005</v>
      </c>
      <c r="Z319" s="132">
        <v>0</v>
      </c>
      <c r="AA319" s="133">
        <f>$Z$319*$K$319</f>
        <v>0</v>
      </c>
      <c r="AR319" s="6" t="s">
        <v>218</v>
      </c>
      <c r="AT319" s="6" t="s">
        <v>173</v>
      </c>
      <c r="AU319" s="6" t="s">
        <v>103</v>
      </c>
      <c r="AY319" s="6" t="s">
        <v>172</v>
      </c>
      <c r="BE319" s="82">
        <f>IF($U$319="základní",$N$319,0)</f>
        <v>0</v>
      </c>
      <c r="BF319" s="82">
        <f>IF($U$319="snížená",$N$319,0)</f>
        <v>0</v>
      </c>
      <c r="BG319" s="82">
        <f>IF($U$319="zákl. přenesena",$N$319,0)</f>
        <v>0</v>
      </c>
      <c r="BH319" s="82">
        <f>IF($U$319="sníž. přenesena",$N$319,0)</f>
        <v>0</v>
      </c>
      <c r="BI319" s="82">
        <f>IF($U$319="nulová",$N$319,0)</f>
        <v>0</v>
      </c>
      <c r="BJ319" s="6" t="s">
        <v>103</v>
      </c>
    </row>
    <row r="320" spans="2:62" s="6" customFormat="1" ht="15.75" customHeight="1">
      <c r="B320" s="22"/>
      <c r="C320" s="134" t="s">
        <v>671</v>
      </c>
      <c r="D320" s="134" t="s">
        <v>201</v>
      </c>
      <c r="E320" s="135" t="s">
        <v>672</v>
      </c>
      <c r="F320" s="214" t="s">
        <v>673</v>
      </c>
      <c r="G320" s="215"/>
      <c r="H320" s="215"/>
      <c r="I320" s="215"/>
      <c r="J320" s="136" t="s">
        <v>260</v>
      </c>
      <c r="K320" s="137">
        <v>13</v>
      </c>
      <c r="L320" s="216">
        <v>0</v>
      </c>
      <c r="M320" s="215"/>
      <c r="N320" s="217">
        <f>ROUND($L$320*$K$320,2)</f>
        <v>0</v>
      </c>
      <c r="O320" s="211"/>
      <c r="P320" s="211"/>
      <c r="Q320" s="211"/>
      <c r="R320" s="24"/>
      <c r="T320" s="131"/>
      <c r="U320" s="30" t="s">
        <v>40</v>
      </c>
      <c r="V320" s="132">
        <v>0</v>
      </c>
      <c r="W320" s="132">
        <f>$V$320*$K$320</f>
        <v>0</v>
      </c>
      <c r="X320" s="132">
        <v>0</v>
      </c>
      <c r="Y320" s="132">
        <f>$X$320*$K$320</f>
        <v>0</v>
      </c>
      <c r="Z320" s="132">
        <v>0</v>
      </c>
      <c r="AA320" s="133">
        <f>$Z$320*$K$320</f>
        <v>0</v>
      </c>
      <c r="AR320" s="6" t="s">
        <v>267</v>
      </c>
      <c r="AT320" s="6" t="s">
        <v>201</v>
      </c>
      <c r="AU320" s="6" t="s">
        <v>103</v>
      </c>
      <c r="AY320" s="6" t="s">
        <v>172</v>
      </c>
      <c r="BE320" s="82">
        <f>IF($U$320="základní",$N$320,0)</f>
        <v>0</v>
      </c>
      <c r="BF320" s="82">
        <f>IF($U$320="snížená",$N$320,0)</f>
        <v>0</v>
      </c>
      <c r="BG320" s="82">
        <f>IF($U$320="zákl. přenesena",$N$320,0)</f>
        <v>0</v>
      </c>
      <c r="BH320" s="82">
        <f>IF($U$320="sníž. přenesena",$N$320,0)</f>
        <v>0</v>
      </c>
      <c r="BI320" s="82">
        <f>IF($U$320="nulová",$N$320,0)</f>
        <v>0</v>
      </c>
      <c r="BJ320" s="6" t="s">
        <v>103</v>
      </c>
    </row>
    <row r="321" spans="2:62" s="6" customFormat="1" ht="27" customHeight="1">
      <c r="B321" s="22"/>
      <c r="C321" s="127" t="s">
        <v>674</v>
      </c>
      <c r="D321" s="127" t="s">
        <v>173</v>
      </c>
      <c r="E321" s="128" t="s">
        <v>675</v>
      </c>
      <c r="F321" s="210" t="s">
        <v>676</v>
      </c>
      <c r="G321" s="211"/>
      <c r="H321" s="211"/>
      <c r="I321" s="211"/>
      <c r="J321" s="129" t="s">
        <v>475</v>
      </c>
      <c r="K321" s="130">
        <v>541.72</v>
      </c>
      <c r="L321" s="212">
        <v>0</v>
      </c>
      <c r="M321" s="211"/>
      <c r="N321" s="213">
        <f>ROUND($L$321*$K$321,2)</f>
        <v>0</v>
      </c>
      <c r="O321" s="211"/>
      <c r="P321" s="211"/>
      <c r="Q321" s="211"/>
      <c r="R321" s="24"/>
      <c r="T321" s="131"/>
      <c r="U321" s="30" t="s">
        <v>40</v>
      </c>
      <c r="V321" s="132">
        <v>0.21</v>
      </c>
      <c r="W321" s="132">
        <f>$V$321*$K$321</f>
        <v>113.7612</v>
      </c>
      <c r="X321" s="132">
        <v>6E-05</v>
      </c>
      <c r="Y321" s="132">
        <f>$X$321*$K$321</f>
        <v>0.0325032</v>
      </c>
      <c r="Z321" s="132">
        <v>0</v>
      </c>
      <c r="AA321" s="133">
        <f>$Z$321*$K$321</f>
        <v>0</v>
      </c>
      <c r="AR321" s="6" t="s">
        <v>218</v>
      </c>
      <c r="AT321" s="6" t="s">
        <v>173</v>
      </c>
      <c r="AU321" s="6" t="s">
        <v>103</v>
      </c>
      <c r="AY321" s="6" t="s">
        <v>172</v>
      </c>
      <c r="BE321" s="82">
        <f>IF($U$321="základní",$N$321,0)</f>
        <v>0</v>
      </c>
      <c r="BF321" s="82">
        <f>IF($U$321="snížená",$N$321,0)</f>
        <v>0</v>
      </c>
      <c r="BG321" s="82">
        <f>IF($U$321="zákl. přenesena",$N$321,0)</f>
        <v>0</v>
      </c>
      <c r="BH321" s="82">
        <f>IF($U$321="sníž. přenesena",$N$321,0)</f>
        <v>0</v>
      </c>
      <c r="BI321" s="82">
        <f>IF($U$321="nulová",$N$321,0)</f>
        <v>0</v>
      </c>
      <c r="BJ321" s="6" t="s">
        <v>103</v>
      </c>
    </row>
    <row r="322" spans="2:62" s="6" customFormat="1" ht="15.75" customHeight="1">
      <c r="B322" s="22"/>
      <c r="C322" s="134" t="s">
        <v>677</v>
      </c>
      <c r="D322" s="134" t="s">
        <v>201</v>
      </c>
      <c r="E322" s="135" t="s">
        <v>678</v>
      </c>
      <c r="F322" s="214" t="s">
        <v>679</v>
      </c>
      <c r="G322" s="215"/>
      <c r="H322" s="215"/>
      <c r="I322" s="215"/>
      <c r="J322" s="136" t="s">
        <v>260</v>
      </c>
      <c r="K322" s="137">
        <v>1</v>
      </c>
      <c r="L322" s="216">
        <v>0</v>
      </c>
      <c r="M322" s="215"/>
      <c r="N322" s="217">
        <f>ROUND($L$322*$K$322,2)</f>
        <v>0</v>
      </c>
      <c r="O322" s="211"/>
      <c r="P322" s="211"/>
      <c r="Q322" s="211"/>
      <c r="R322" s="24"/>
      <c r="T322" s="131"/>
      <c r="U322" s="30" t="s">
        <v>40</v>
      </c>
      <c r="V322" s="132">
        <v>0</v>
      </c>
      <c r="W322" s="132">
        <f>$V$322*$K$322</f>
        <v>0</v>
      </c>
      <c r="X322" s="132">
        <v>0</v>
      </c>
      <c r="Y322" s="132">
        <f>$X$322*$K$322</f>
        <v>0</v>
      </c>
      <c r="Z322" s="132">
        <v>0</v>
      </c>
      <c r="AA322" s="133">
        <f>$Z$322*$K$322</f>
        <v>0</v>
      </c>
      <c r="AR322" s="6" t="s">
        <v>267</v>
      </c>
      <c r="AT322" s="6" t="s">
        <v>201</v>
      </c>
      <c r="AU322" s="6" t="s">
        <v>103</v>
      </c>
      <c r="AY322" s="6" t="s">
        <v>172</v>
      </c>
      <c r="BE322" s="82">
        <f>IF($U$322="základní",$N$322,0)</f>
        <v>0</v>
      </c>
      <c r="BF322" s="82">
        <f>IF($U$322="snížená",$N$322,0)</f>
        <v>0</v>
      </c>
      <c r="BG322" s="82">
        <f>IF($U$322="zákl. přenesena",$N$322,0)</f>
        <v>0</v>
      </c>
      <c r="BH322" s="82">
        <f>IF($U$322="sníž. přenesena",$N$322,0)</f>
        <v>0</v>
      </c>
      <c r="BI322" s="82">
        <f>IF($U$322="nulová",$N$322,0)</f>
        <v>0</v>
      </c>
      <c r="BJ322" s="6" t="s">
        <v>103</v>
      </c>
    </row>
    <row r="323" spans="2:62" s="6" customFormat="1" ht="27" customHeight="1">
      <c r="B323" s="22"/>
      <c r="C323" s="127" t="s">
        <v>680</v>
      </c>
      <c r="D323" s="127" t="s">
        <v>173</v>
      </c>
      <c r="E323" s="128" t="s">
        <v>681</v>
      </c>
      <c r="F323" s="210" t="s">
        <v>682</v>
      </c>
      <c r="G323" s="211"/>
      <c r="H323" s="211"/>
      <c r="I323" s="211"/>
      <c r="J323" s="129" t="s">
        <v>475</v>
      </c>
      <c r="K323" s="130">
        <v>675</v>
      </c>
      <c r="L323" s="212">
        <v>0</v>
      </c>
      <c r="M323" s="211"/>
      <c r="N323" s="213">
        <f>ROUND($L$323*$K$323,2)</f>
        <v>0</v>
      </c>
      <c r="O323" s="211"/>
      <c r="P323" s="211"/>
      <c r="Q323" s="211"/>
      <c r="R323" s="24"/>
      <c r="T323" s="131"/>
      <c r="U323" s="30" t="s">
        <v>40</v>
      </c>
      <c r="V323" s="132">
        <v>0.088</v>
      </c>
      <c r="W323" s="132">
        <f>$V$323*$K$323</f>
        <v>59.4</v>
      </c>
      <c r="X323" s="132">
        <v>5E-05</v>
      </c>
      <c r="Y323" s="132">
        <f>$X$323*$K$323</f>
        <v>0.03375</v>
      </c>
      <c r="Z323" s="132">
        <v>0.001</v>
      </c>
      <c r="AA323" s="133">
        <f>$Z$323*$K$323</f>
        <v>0.675</v>
      </c>
      <c r="AR323" s="6" t="s">
        <v>218</v>
      </c>
      <c r="AT323" s="6" t="s">
        <v>173</v>
      </c>
      <c r="AU323" s="6" t="s">
        <v>103</v>
      </c>
      <c r="AY323" s="6" t="s">
        <v>172</v>
      </c>
      <c r="BE323" s="82">
        <f>IF($U$323="základní",$N$323,0)</f>
        <v>0</v>
      </c>
      <c r="BF323" s="82">
        <f>IF($U$323="snížená",$N$323,0)</f>
        <v>0</v>
      </c>
      <c r="BG323" s="82">
        <f>IF($U$323="zákl. přenesena",$N$323,0)</f>
        <v>0</v>
      </c>
      <c r="BH323" s="82">
        <f>IF($U$323="sníž. přenesena",$N$323,0)</f>
        <v>0</v>
      </c>
      <c r="BI323" s="82">
        <f>IF($U$323="nulová",$N$323,0)</f>
        <v>0</v>
      </c>
      <c r="BJ323" s="6" t="s">
        <v>103</v>
      </c>
    </row>
    <row r="324" spans="2:62" s="6" customFormat="1" ht="27" customHeight="1">
      <c r="B324" s="22"/>
      <c r="C324" s="127" t="s">
        <v>683</v>
      </c>
      <c r="D324" s="127" t="s">
        <v>173</v>
      </c>
      <c r="E324" s="128" t="s">
        <v>684</v>
      </c>
      <c r="F324" s="210" t="s">
        <v>685</v>
      </c>
      <c r="G324" s="211"/>
      <c r="H324" s="211"/>
      <c r="I324" s="211"/>
      <c r="J324" s="129" t="s">
        <v>468</v>
      </c>
      <c r="K324" s="138">
        <v>0</v>
      </c>
      <c r="L324" s="212">
        <v>0</v>
      </c>
      <c r="M324" s="211"/>
      <c r="N324" s="213">
        <f>ROUND($L$324*$K$324,2)</f>
        <v>0</v>
      </c>
      <c r="O324" s="211"/>
      <c r="P324" s="211"/>
      <c r="Q324" s="211"/>
      <c r="R324" s="24"/>
      <c r="T324" s="131"/>
      <c r="U324" s="30" t="s">
        <v>40</v>
      </c>
      <c r="V324" s="132">
        <v>0</v>
      </c>
      <c r="W324" s="132">
        <f>$V$324*$K$324</f>
        <v>0</v>
      </c>
      <c r="X324" s="132">
        <v>0</v>
      </c>
      <c r="Y324" s="132">
        <f>$X$324*$K$324</f>
        <v>0</v>
      </c>
      <c r="Z324" s="132">
        <v>0</v>
      </c>
      <c r="AA324" s="133">
        <f>$Z$324*$K$324</f>
        <v>0</v>
      </c>
      <c r="AR324" s="6" t="s">
        <v>218</v>
      </c>
      <c r="AT324" s="6" t="s">
        <v>173</v>
      </c>
      <c r="AU324" s="6" t="s">
        <v>103</v>
      </c>
      <c r="AY324" s="6" t="s">
        <v>172</v>
      </c>
      <c r="BE324" s="82">
        <f>IF($U$324="základní",$N$324,0)</f>
        <v>0</v>
      </c>
      <c r="BF324" s="82">
        <f>IF($U$324="snížená",$N$324,0)</f>
        <v>0</v>
      </c>
      <c r="BG324" s="82">
        <f>IF($U$324="zákl. přenesena",$N$324,0)</f>
        <v>0</v>
      </c>
      <c r="BH324" s="82">
        <f>IF($U$324="sníž. přenesena",$N$324,0)</f>
        <v>0</v>
      </c>
      <c r="BI324" s="82">
        <f>IF($U$324="nulová",$N$324,0)</f>
        <v>0</v>
      </c>
      <c r="BJ324" s="6" t="s">
        <v>103</v>
      </c>
    </row>
    <row r="325" spans="2:51" s="117" customFormat="1" ht="30.75" customHeight="1">
      <c r="B325" s="118"/>
      <c r="C325" s="119"/>
      <c r="D325" s="126" t="s">
        <v>142</v>
      </c>
      <c r="E325" s="119"/>
      <c r="F325" s="119"/>
      <c r="G325" s="119"/>
      <c r="H325" s="119"/>
      <c r="I325" s="119"/>
      <c r="J325" s="119"/>
      <c r="K325" s="119"/>
      <c r="L325" s="119"/>
      <c r="M325" s="119"/>
      <c r="N325" s="221">
        <f>SUM($N$326:$N$330)</f>
        <v>0</v>
      </c>
      <c r="O325" s="220"/>
      <c r="P325" s="220"/>
      <c r="Q325" s="220"/>
      <c r="R325" s="121"/>
      <c r="T325" s="122"/>
      <c r="U325" s="119"/>
      <c r="V325" s="119"/>
      <c r="W325" s="123">
        <f>SUM($W$326:$W$330)</f>
        <v>133.23604</v>
      </c>
      <c r="X325" s="119"/>
      <c r="Y325" s="123">
        <f>SUM($Y$326:$Y$330)</f>
        <v>0.22178766000000003</v>
      </c>
      <c r="Z325" s="119"/>
      <c r="AA325" s="124">
        <f>SUM($AA$326:$AA$330)</f>
        <v>0</v>
      </c>
      <c r="AR325" s="125" t="s">
        <v>103</v>
      </c>
      <c r="AT325" s="125" t="s">
        <v>72</v>
      </c>
      <c r="AU325" s="125" t="s">
        <v>17</v>
      </c>
      <c r="AY325" s="125" t="s">
        <v>172</v>
      </c>
    </row>
    <row r="326" spans="2:62" s="6" customFormat="1" ht="15.75" customHeight="1">
      <c r="B326" s="22"/>
      <c r="C326" s="127" t="s">
        <v>686</v>
      </c>
      <c r="D326" s="127" t="s">
        <v>173</v>
      </c>
      <c r="E326" s="128" t="s">
        <v>687</v>
      </c>
      <c r="F326" s="210" t="s">
        <v>688</v>
      </c>
      <c r="G326" s="211"/>
      <c r="H326" s="211"/>
      <c r="I326" s="211"/>
      <c r="J326" s="129" t="s">
        <v>176</v>
      </c>
      <c r="K326" s="130">
        <v>9.5</v>
      </c>
      <c r="L326" s="212">
        <v>0</v>
      </c>
      <c r="M326" s="211"/>
      <c r="N326" s="213">
        <f>ROUND($L$326*$K$326,2)</f>
        <v>0</v>
      </c>
      <c r="O326" s="211"/>
      <c r="P326" s="211"/>
      <c r="Q326" s="211"/>
      <c r="R326" s="24"/>
      <c r="T326" s="131"/>
      <c r="U326" s="30" t="s">
        <v>40</v>
      </c>
      <c r="V326" s="132">
        <v>0.045</v>
      </c>
      <c r="W326" s="132">
        <f>$V$326*$K$326</f>
        <v>0.4275</v>
      </c>
      <c r="X326" s="132">
        <v>0</v>
      </c>
      <c r="Y326" s="132">
        <f>$X$326*$K$326</f>
        <v>0</v>
      </c>
      <c r="Z326" s="132">
        <v>0</v>
      </c>
      <c r="AA326" s="133">
        <f>$Z$326*$K$326</f>
        <v>0</v>
      </c>
      <c r="AR326" s="6" t="s">
        <v>218</v>
      </c>
      <c r="AT326" s="6" t="s">
        <v>173</v>
      </c>
      <c r="AU326" s="6" t="s">
        <v>103</v>
      </c>
      <c r="AY326" s="6" t="s">
        <v>172</v>
      </c>
      <c r="BE326" s="82">
        <f>IF($U$326="základní",$N$326,0)</f>
        <v>0</v>
      </c>
      <c r="BF326" s="82">
        <f>IF($U$326="snížená",$N$326,0)</f>
        <v>0</v>
      </c>
      <c r="BG326" s="82">
        <f>IF($U$326="zákl. přenesena",$N$326,0)</f>
        <v>0</v>
      </c>
      <c r="BH326" s="82">
        <f>IF($U$326="sníž. přenesena",$N$326,0)</f>
        <v>0</v>
      </c>
      <c r="BI326" s="82">
        <f>IF($U$326="nulová",$N$326,0)</f>
        <v>0</v>
      </c>
      <c r="BJ326" s="6" t="s">
        <v>103</v>
      </c>
    </row>
    <row r="327" spans="2:62" s="6" customFormat="1" ht="27" customHeight="1">
      <c r="B327" s="22"/>
      <c r="C327" s="127" t="s">
        <v>689</v>
      </c>
      <c r="D327" s="127" t="s">
        <v>173</v>
      </c>
      <c r="E327" s="128" t="s">
        <v>690</v>
      </c>
      <c r="F327" s="210" t="s">
        <v>691</v>
      </c>
      <c r="G327" s="211"/>
      <c r="H327" s="211"/>
      <c r="I327" s="211"/>
      <c r="J327" s="129" t="s">
        <v>176</v>
      </c>
      <c r="K327" s="130">
        <v>63.05</v>
      </c>
      <c r="L327" s="212">
        <v>0</v>
      </c>
      <c r="M327" s="211"/>
      <c r="N327" s="213">
        <f>ROUND($L$327*$K$327,2)</f>
        <v>0</v>
      </c>
      <c r="O327" s="211"/>
      <c r="P327" s="211"/>
      <c r="Q327" s="211"/>
      <c r="R327" s="24"/>
      <c r="T327" s="131"/>
      <c r="U327" s="30" t="s">
        <v>40</v>
      </c>
      <c r="V327" s="132">
        <v>0.393</v>
      </c>
      <c r="W327" s="132">
        <f>$V$327*$K$327</f>
        <v>24.77865</v>
      </c>
      <c r="X327" s="132">
        <v>0.00075</v>
      </c>
      <c r="Y327" s="132">
        <f>$X$327*$K$327</f>
        <v>0.047287499999999996</v>
      </c>
      <c r="Z327" s="132">
        <v>0</v>
      </c>
      <c r="AA327" s="133">
        <f>$Z$327*$K$327</f>
        <v>0</v>
      </c>
      <c r="AR327" s="6" t="s">
        <v>218</v>
      </c>
      <c r="AT327" s="6" t="s">
        <v>173</v>
      </c>
      <c r="AU327" s="6" t="s">
        <v>103</v>
      </c>
      <c r="AY327" s="6" t="s">
        <v>172</v>
      </c>
      <c r="BE327" s="82">
        <f>IF($U$327="základní",$N$327,0)</f>
        <v>0</v>
      </c>
      <c r="BF327" s="82">
        <f>IF($U$327="snížená",$N$327,0)</f>
        <v>0</v>
      </c>
      <c r="BG327" s="82">
        <f>IF($U$327="zákl. přenesena",$N$327,0)</f>
        <v>0</v>
      </c>
      <c r="BH327" s="82">
        <f>IF($U$327="sníž. přenesena",$N$327,0)</f>
        <v>0</v>
      </c>
      <c r="BI327" s="82">
        <f>IF($U$327="nulová",$N$327,0)</f>
        <v>0</v>
      </c>
      <c r="BJ327" s="6" t="s">
        <v>103</v>
      </c>
    </row>
    <row r="328" spans="2:62" s="6" customFormat="1" ht="27" customHeight="1">
      <c r="B328" s="22"/>
      <c r="C328" s="127" t="s">
        <v>692</v>
      </c>
      <c r="D328" s="127" t="s">
        <v>173</v>
      </c>
      <c r="E328" s="128" t="s">
        <v>693</v>
      </c>
      <c r="F328" s="210" t="s">
        <v>694</v>
      </c>
      <c r="G328" s="211"/>
      <c r="H328" s="211"/>
      <c r="I328" s="211"/>
      <c r="J328" s="129" t="s">
        <v>176</v>
      </c>
      <c r="K328" s="130">
        <v>53.55</v>
      </c>
      <c r="L328" s="212">
        <v>0</v>
      </c>
      <c r="M328" s="211"/>
      <c r="N328" s="213">
        <f>ROUND($L$328*$K$328,2)</f>
        <v>0</v>
      </c>
      <c r="O328" s="211"/>
      <c r="P328" s="211"/>
      <c r="Q328" s="211"/>
      <c r="R328" s="24"/>
      <c r="T328" s="131"/>
      <c r="U328" s="30" t="s">
        <v>40</v>
      </c>
      <c r="V328" s="132">
        <v>0.209</v>
      </c>
      <c r="W328" s="132">
        <f>$V$328*$K$328</f>
        <v>11.191949999999999</v>
      </c>
      <c r="X328" s="132">
        <v>0.00029</v>
      </c>
      <c r="Y328" s="132">
        <f>$X$328*$K$328</f>
        <v>0.0155295</v>
      </c>
      <c r="Z328" s="132">
        <v>0</v>
      </c>
      <c r="AA328" s="133">
        <f>$Z$328*$K$328</f>
        <v>0</v>
      </c>
      <c r="AR328" s="6" t="s">
        <v>218</v>
      </c>
      <c r="AT328" s="6" t="s">
        <v>173</v>
      </c>
      <c r="AU328" s="6" t="s">
        <v>103</v>
      </c>
      <c r="AY328" s="6" t="s">
        <v>172</v>
      </c>
      <c r="BE328" s="82">
        <f>IF($U$328="základní",$N$328,0)</f>
        <v>0</v>
      </c>
      <c r="BF328" s="82">
        <f>IF($U$328="snížená",$N$328,0)</f>
        <v>0</v>
      </c>
      <c r="BG328" s="82">
        <f>IF($U$328="zákl. přenesena",$N$328,0)</f>
        <v>0</v>
      </c>
      <c r="BH328" s="82">
        <f>IF($U$328="sníž. přenesena",$N$328,0)</f>
        <v>0</v>
      </c>
      <c r="BI328" s="82">
        <f>IF($U$328="nulová",$N$328,0)</f>
        <v>0</v>
      </c>
      <c r="BJ328" s="6" t="s">
        <v>103</v>
      </c>
    </row>
    <row r="329" spans="2:62" s="6" customFormat="1" ht="27" customHeight="1">
      <c r="B329" s="22"/>
      <c r="C329" s="127" t="s">
        <v>695</v>
      </c>
      <c r="D329" s="127" t="s">
        <v>173</v>
      </c>
      <c r="E329" s="128" t="s">
        <v>696</v>
      </c>
      <c r="F329" s="210" t="s">
        <v>697</v>
      </c>
      <c r="G329" s="211"/>
      <c r="H329" s="211"/>
      <c r="I329" s="211"/>
      <c r="J329" s="129" t="s">
        <v>176</v>
      </c>
      <c r="K329" s="130">
        <v>200.729</v>
      </c>
      <c r="L329" s="212">
        <v>0</v>
      </c>
      <c r="M329" s="211"/>
      <c r="N329" s="213">
        <f>ROUND($L$329*$K$329,2)</f>
        <v>0</v>
      </c>
      <c r="O329" s="211"/>
      <c r="P329" s="211"/>
      <c r="Q329" s="211"/>
      <c r="R329" s="24"/>
      <c r="T329" s="131"/>
      <c r="U329" s="30" t="s">
        <v>40</v>
      </c>
      <c r="V329" s="132">
        <v>0.22</v>
      </c>
      <c r="W329" s="132">
        <f>$V$329*$K$329</f>
        <v>44.16038</v>
      </c>
      <c r="X329" s="132">
        <v>0.00074</v>
      </c>
      <c r="Y329" s="132">
        <f>$X$329*$K$329</f>
        <v>0.14853946</v>
      </c>
      <c r="Z329" s="132">
        <v>0</v>
      </c>
      <c r="AA329" s="133">
        <f>$Z$329*$K$329</f>
        <v>0</v>
      </c>
      <c r="AR329" s="6" t="s">
        <v>218</v>
      </c>
      <c r="AT329" s="6" t="s">
        <v>173</v>
      </c>
      <c r="AU329" s="6" t="s">
        <v>103</v>
      </c>
      <c r="AY329" s="6" t="s">
        <v>172</v>
      </c>
      <c r="BE329" s="82">
        <f>IF($U$329="základní",$N$329,0)</f>
        <v>0</v>
      </c>
      <c r="BF329" s="82">
        <f>IF($U$329="snížená",$N$329,0)</f>
        <v>0</v>
      </c>
      <c r="BG329" s="82">
        <f>IF($U$329="zákl. přenesena",$N$329,0)</f>
        <v>0</v>
      </c>
      <c r="BH329" s="82">
        <f>IF($U$329="sníž. přenesena",$N$329,0)</f>
        <v>0</v>
      </c>
      <c r="BI329" s="82">
        <f>IF($U$329="nulová",$N$329,0)</f>
        <v>0</v>
      </c>
      <c r="BJ329" s="6" t="s">
        <v>103</v>
      </c>
    </row>
    <row r="330" spans="2:62" s="6" customFormat="1" ht="39" customHeight="1">
      <c r="B330" s="22"/>
      <c r="C330" s="127" t="s">
        <v>698</v>
      </c>
      <c r="D330" s="127" t="s">
        <v>173</v>
      </c>
      <c r="E330" s="128" t="s">
        <v>699</v>
      </c>
      <c r="F330" s="210" t="s">
        <v>700</v>
      </c>
      <c r="G330" s="211"/>
      <c r="H330" s="211"/>
      <c r="I330" s="211"/>
      <c r="J330" s="129" t="s">
        <v>176</v>
      </c>
      <c r="K330" s="130">
        <v>260.78</v>
      </c>
      <c r="L330" s="212">
        <v>0</v>
      </c>
      <c r="M330" s="211"/>
      <c r="N330" s="213">
        <f>ROUND($L$330*$K$330,2)</f>
        <v>0</v>
      </c>
      <c r="O330" s="211"/>
      <c r="P330" s="211"/>
      <c r="Q330" s="211"/>
      <c r="R330" s="24"/>
      <c r="T330" s="131"/>
      <c r="U330" s="30" t="s">
        <v>40</v>
      </c>
      <c r="V330" s="132">
        <v>0.202</v>
      </c>
      <c r="W330" s="132">
        <f>$V$330*$K$330</f>
        <v>52.67756</v>
      </c>
      <c r="X330" s="132">
        <v>4E-05</v>
      </c>
      <c r="Y330" s="132">
        <f>$X$330*$K$330</f>
        <v>0.0104312</v>
      </c>
      <c r="Z330" s="132">
        <v>0</v>
      </c>
      <c r="AA330" s="133">
        <f>$Z$330*$K$330</f>
        <v>0</v>
      </c>
      <c r="AR330" s="6" t="s">
        <v>218</v>
      </c>
      <c r="AT330" s="6" t="s">
        <v>173</v>
      </c>
      <c r="AU330" s="6" t="s">
        <v>103</v>
      </c>
      <c r="AY330" s="6" t="s">
        <v>172</v>
      </c>
      <c r="BE330" s="82">
        <f>IF($U$330="základní",$N$330,0)</f>
        <v>0</v>
      </c>
      <c r="BF330" s="82">
        <f>IF($U$330="snížená",$N$330,0)</f>
        <v>0</v>
      </c>
      <c r="BG330" s="82">
        <f>IF($U$330="zákl. přenesena",$N$330,0)</f>
        <v>0</v>
      </c>
      <c r="BH330" s="82">
        <f>IF($U$330="sníž. přenesena",$N$330,0)</f>
        <v>0</v>
      </c>
      <c r="BI330" s="82">
        <f>IF($U$330="nulová",$N$330,0)</f>
        <v>0</v>
      </c>
      <c r="BJ330" s="6" t="s">
        <v>103</v>
      </c>
    </row>
    <row r="331" spans="2:51" s="117" customFormat="1" ht="30.75" customHeight="1">
      <c r="B331" s="118"/>
      <c r="C331" s="119"/>
      <c r="D331" s="126" t="s">
        <v>143</v>
      </c>
      <c r="E331" s="119"/>
      <c r="F331" s="119"/>
      <c r="G331" s="119"/>
      <c r="H331" s="119"/>
      <c r="I331" s="119"/>
      <c r="J331" s="119"/>
      <c r="K331" s="119"/>
      <c r="L331" s="119"/>
      <c r="M331" s="119"/>
      <c r="N331" s="221">
        <f>SUM($N$332:$N$333)</f>
        <v>0</v>
      </c>
      <c r="O331" s="220"/>
      <c r="P331" s="220"/>
      <c r="Q331" s="220"/>
      <c r="R331" s="121"/>
      <c r="T331" s="122"/>
      <c r="U331" s="119"/>
      <c r="V331" s="119"/>
      <c r="W331" s="123">
        <f>SUM($W$332:$W$333)</f>
        <v>9.92795</v>
      </c>
      <c r="X331" s="119"/>
      <c r="Y331" s="123">
        <f>SUM($Y$332:$Y$333)</f>
        <v>0.07027649999999999</v>
      </c>
      <c r="Z331" s="119"/>
      <c r="AA331" s="124">
        <f>SUM($AA$332:$AA$333)</f>
        <v>0</v>
      </c>
      <c r="AR331" s="125" t="s">
        <v>103</v>
      </c>
      <c r="AT331" s="125" t="s">
        <v>72</v>
      </c>
      <c r="AU331" s="125" t="s">
        <v>17</v>
      </c>
      <c r="AY331" s="125" t="s">
        <v>172</v>
      </c>
    </row>
    <row r="332" spans="2:62" s="6" customFormat="1" ht="27" customHeight="1">
      <c r="B332" s="22"/>
      <c r="C332" s="127" t="s">
        <v>701</v>
      </c>
      <c r="D332" s="127" t="s">
        <v>173</v>
      </c>
      <c r="E332" s="128" t="s">
        <v>702</v>
      </c>
      <c r="F332" s="210" t="s">
        <v>703</v>
      </c>
      <c r="G332" s="211"/>
      <c r="H332" s="211"/>
      <c r="I332" s="211"/>
      <c r="J332" s="129" t="s">
        <v>176</v>
      </c>
      <c r="K332" s="130">
        <v>111.55</v>
      </c>
      <c r="L332" s="212">
        <v>0</v>
      </c>
      <c r="M332" s="211"/>
      <c r="N332" s="213">
        <f>ROUND($L$332*$K$332,2)</f>
        <v>0</v>
      </c>
      <c r="O332" s="211"/>
      <c r="P332" s="211"/>
      <c r="Q332" s="211"/>
      <c r="R332" s="24"/>
      <c r="T332" s="131"/>
      <c r="U332" s="30" t="s">
        <v>40</v>
      </c>
      <c r="V332" s="132">
        <v>0.03</v>
      </c>
      <c r="W332" s="132">
        <f>$V$332*$K$332</f>
        <v>3.3465</v>
      </c>
      <c r="X332" s="132">
        <v>0.00017</v>
      </c>
      <c r="Y332" s="132">
        <f>$X$332*$K$332</f>
        <v>0.0189635</v>
      </c>
      <c r="Z332" s="132">
        <v>0</v>
      </c>
      <c r="AA332" s="133">
        <f>$Z$332*$K$332</f>
        <v>0</v>
      </c>
      <c r="AR332" s="6" t="s">
        <v>218</v>
      </c>
      <c r="AT332" s="6" t="s">
        <v>173</v>
      </c>
      <c r="AU332" s="6" t="s">
        <v>103</v>
      </c>
      <c r="AY332" s="6" t="s">
        <v>172</v>
      </c>
      <c r="BE332" s="82">
        <f>IF($U$332="základní",$N$332,0)</f>
        <v>0</v>
      </c>
      <c r="BF332" s="82">
        <f>IF($U$332="snížená",$N$332,0)</f>
        <v>0</v>
      </c>
      <c r="BG332" s="82">
        <f>IF($U$332="zákl. přenesena",$N$332,0)</f>
        <v>0</v>
      </c>
      <c r="BH332" s="82">
        <f>IF($U$332="sníž. přenesena",$N$332,0)</f>
        <v>0</v>
      </c>
      <c r="BI332" s="82">
        <f>IF($U$332="nulová",$N$332,0)</f>
        <v>0</v>
      </c>
      <c r="BJ332" s="6" t="s">
        <v>103</v>
      </c>
    </row>
    <row r="333" spans="2:62" s="6" customFormat="1" ht="39" customHeight="1">
      <c r="B333" s="22"/>
      <c r="C333" s="127" t="s">
        <v>704</v>
      </c>
      <c r="D333" s="127" t="s">
        <v>173</v>
      </c>
      <c r="E333" s="128" t="s">
        <v>705</v>
      </c>
      <c r="F333" s="210" t="s">
        <v>706</v>
      </c>
      <c r="G333" s="211"/>
      <c r="H333" s="211"/>
      <c r="I333" s="211"/>
      <c r="J333" s="129" t="s">
        <v>176</v>
      </c>
      <c r="K333" s="130">
        <v>111.55</v>
      </c>
      <c r="L333" s="212">
        <v>0</v>
      </c>
      <c r="M333" s="211"/>
      <c r="N333" s="213">
        <f>ROUND($L$333*$K$333,2)</f>
        <v>0</v>
      </c>
      <c r="O333" s="211"/>
      <c r="P333" s="211"/>
      <c r="Q333" s="211"/>
      <c r="R333" s="24"/>
      <c r="T333" s="131"/>
      <c r="U333" s="30" t="s">
        <v>40</v>
      </c>
      <c r="V333" s="132">
        <v>0.059</v>
      </c>
      <c r="W333" s="132">
        <f>$V$333*$K$333</f>
        <v>6.581449999999999</v>
      </c>
      <c r="X333" s="132">
        <v>0.00046</v>
      </c>
      <c r="Y333" s="132">
        <f>$X$333*$K$333</f>
        <v>0.051313</v>
      </c>
      <c r="Z333" s="132">
        <v>0</v>
      </c>
      <c r="AA333" s="133">
        <f>$Z$333*$K$333</f>
        <v>0</v>
      </c>
      <c r="AR333" s="6" t="s">
        <v>218</v>
      </c>
      <c r="AT333" s="6" t="s">
        <v>173</v>
      </c>
      <c r="AU333" s="6" t="s">
        <v>103</v>
      </c>
      <c r="AY333" s="6" t="s">
        <v>172</v>
      </c>
      <c r="BE333" s="82">
        <f>IF($U$333="základní",$N$333,0)</f>
        <v>0</v>
      </c>
      <c r="BF333" s="82">
        <f>IF($U$333="snížená",$N$333,0)</f>
        <v>0</v>
      </c>
      <c r="BG333" s="82">
        <f>IF($U$333="zákl. přenesena",$N$333,0)</f>
        <v>0</v>
      </c>
      <c r="BH333" s="82">
        <f>IF($U$333="sníž. přenesena",$N$333,0)</f>
        <v>0</v>
      </c>
      <c r="BI333" s="82">
        <f>IF($U$333="nulová",$N$333,0)</f>
        <v>0</v>
      </c>
      <c r="BJ333" s="6" t="s">
        <v>103</v>
      </c>
    </row>
    <row r="334" spans="2:51" s="117" customFormat="1" ht="37.5" customHeight="1">
      <c r="B334" s="118"/>
      <c r="C334" s="119"/>
      <c r="D334" s="120" t="s">
        <v>144</v>
      </c>
      <c r="E334" s="119"/>
      <c r="F334" s="119"/>
      <c r="G334" s="119"/>
      <c r="H334" s="119"/>
      <c r="I334" s="119"/>
      <c r="J334" s="119"/>
      <c r="K334" s="119"/>
      <c r="L334" s="119"/>
      <c r="M334" s="119"/>
      <c r="N334" s="219">
        <f>$N$335+$N$349</f>
        <v>0</v>
      </c>
      <c r="O334" s="220"/>
      <c r="P334" s="220"/>
      <c r="Q334" s="220"/>
      <c r="R334" s="121"/>
      <c r="T334" s="122"/>
      <c r="U334" s="119"/>
      <c r="V334" s="119"/>
      <c r="W334" s="123">
        <f>$W$335+$W$349</f>
        <v>33.527</v>
      </c>
      <c r="X334" s="119"/>
      <c r="Y334" s="123">
        <f>$Y$335+$Y$349</f>
        <v>0.03448</v>
      </c>
      <c r="Z334" s="119"/>
      <c r="AA334" s="124">
        <f>$AA$335+$AA$349</f>
        <v>0</v>
      </c>
      <c r="AR334" s="125" t="s">
        <v>180</v>
      </c>
      <c r="AT334" s="125" t="s">
        <v>72</v>
      </c>
      <c r="AU334" s="125" t="s">
        <v>73</v>
      </c>
      <c r="AY334" s="125" t="s">
        <v>172</v>
      </c>
    </row>
    <row r="335" spans="2:51" s="117" customFormat="1" ht="21" customHeight="1">
      <c r="B335" s="118"/>
      <c r="C335" s="119"/>
      <c r="D335" s="126" t="s">
        <v>145</v>
      </c>
      <c r="E335" s="119"/>
      <c r="F335" s="119"/>
      <c r="G335" s="119"/>
      <c r="H335" s="119"/>
      <c r="I335" s="119"/>
      <c r="J335" s="119"/>
      <c r="K335" s="119"/>
      <c r="L335" s="119"/>
      <c r="M335" s="119"/>
      <c r="N335" s="221">
        <f>SUM($N$336:$N$348)</f>
        <v>0</v>
      </c>
      <c r="O335" s="220"/>
      <c r="P335" s="220"/>
      <c r="Q335" s="220"/>
      <c r="R335" s="121"/>
      <c r="T335" s="122"/>
      <c r="U335" s="119"/>
      <c r="V335" s="119"/>
      <c r="W335" s="123">
        <f>SUM($W$336:$W$348)</f>
        <v>33.527</v>
      </c>
      <c r="X335" s="119"/>
      <c r="Y335" s="123">
        <f>SUM($Y$336:$Y$348)</f>
        <v>0.03448</v>
      </c>
      <c r="Z335" s="119"/>
      <c r="AA335" s="124">
        <f>SUM($AA$336:$AA$348)</f>
        <v>0</v>
      </c>
      <c r="AR335" s="125" t="s">
        <v>180</v>
      </c>
      <c r="AT335" s="125" t="s">
        <v>72</v>
      </c>
      <c r="AU335" s="125" t="s">
        <v>17</v>
      </c>
      <c r="AY335" s="125" t="s">
        <v>172</v>
      </c>
    </row>
    <row r="336" spans="2:62" s="6" customFormat="1" ht="15.75" customHeight="1">
      <c r="B336" s="22"/>
      <c r="C336" s="127" t="s">
        <v>707</v>
      </c>
      <c r="D336" s="127" t="s">
        <v>173</v>
      </c>
      <c r="E336" s="128" t="s">
        <v>708</v>
      </c>
      <c r="F336" s="210" t="s">
        <v>709</v>
      </c>
      <c r="G336" s="211"/>
      <c r="H336" s="211"/>
      <c r="I336" s="211"/>
      <c r="J336" s="129" t="s">
        <v>260</v>
      </c>
      <c r="K336" s="130">
        <v>40</v>
      </c>
      <c r="L336" s="212">
        <v>0</v>
      </c>
      <c r="M336" s="211"/>
      <c r="N336" s="213">
        <f>ROUND($L$336*$K$336,2)</f>
        <v>0</v>
      </c>
      <c r="O336" s="211"/>
      <c r="P336" s="211"/>
      <c r="Q336" s="211"/>
      <c r="R336" s="24"/>
      <c r="T336" s="131"/>
      <c r="U336" s="30" t="s">
        <v>40</v>
      </c>
      <c r="V336" s="132">
        <v>0.087</v>
      </c>
      <c r="W336" s="132">
        <f>$V$336*$K$336</f>
        <v>3.4799999999999995</v>
      </c>
      <c r="X336" s="132">
        <v>0</v>
      </c>
      <c r="Y336" s="132">
        <f>$X$336*$K$336</f>
        <v>0</v>
      </c>
      <c r="Z336" s="132">
        <v>0</v>
      </c>
      <c r="AA336" s="133">
        <f>$Z$336*$K$336</f>
        <v>0</v>
      </c>
      <c r="AR336" s="6" t="s">
        <v>358</v>
      </c>
      <c r="AT336" s="6" t="s">
        <v>173</v>
      </c>
      <c r="AU336" s="6" t="s">
        <v>103</v>
      </c>
      <c r="AY336" s="6" t="s">
        <v>172</v>
      </c>
      <c r="BE336" s="82">
        <f>IF($U$336="základní",$N$336,0)</f>
        <v>0</v>
      </c>
      <c r="BF336" s="82">
        <f>IF($U$336="snížená",$N$336,0)</f>
        <v>0</v>
      </c>
      <c r="BG336" s="82">
        <f>IF($U$336="zákl. přenesena",$N$336,0)</f>
        <v>0</v>
      </c>
      <c r="BH336" s="82">
        <f>IF($U$336="sníž. přenesena",$N$336,0)</f>
        <v>0</v>
      </c>
      <c r="BI336" s="82">
        <f>IF($U$336="nulová",$N$336,0)</f>
        <v>0</v>
      </c>
      <c r="BJ336" s="6" t="s">
        <v>103</v>
      </c>
    </row>
    <row r="337" spans="2:62" s="6" customFormat="1" ht="15.75" customHeight="1">
      <c r="B337" s="22"/>
      <c r="C337" s="134" t="s">
        <v>710</v>
      </c>
      <c r="D337" s="134" t="s">
        <v>201</v>
      </c>
      <c r="E337" s="135" t="s">
        <v>711</v>
      </c>
      <c r="F337" s="214" t="s">
        <v>712</v>
      </c>
      <c r="G337" s="215"/>
      <c r="H337" s="215"/>
      <c r="I337" s="215"/>
      <c r="J337" s="136" t="s">
        <v>260</v>
      </c>
      <c r="K337" s="137">
        <v>40</v>
      </c>
      <c r="L337" s="216">
        <v>0</v>
      </c>
      <c r="M337" s="215"/>
      <c r="N337" s="217">
        <f>ROUND($L$337*$K$337,2)</f>
        <v>0</v>
      </c>
      <c r="O337" s="211"/>
      <c r="P337" s="211"/>
      <c r="Q337" s="211"/>
      <c r="R337" s="24"/>
      <c r="T337" s="131"/>
      <c r="U337" s="30" t="s">
        <v>40</v>
      </c>
      <c r="V337" s="132">
        <v>0</v>
      </c>
      <c r="W337" s="132">
        <f>$V$337*$K$337</f>
        <v>0</v>
      </c>
      <c r="X337" s="132">
        <v>0.00014</v>
      </c>
      <c r="Y337" s="132">
        <f>$X$337*$K$337</f>
        <v>0.005599999999999999</v>
      </c>
      <c r="Z337" s="132">
        <v>0</v>
      </c>
      <c r="AA337" s="133">
        <f>$Z$337*$K$337</f>
        <v>0</v>
      </c>
      <c r="AR337" s="6" t="s">
        <v>545</v>
      </c>
      <c r="AT337" s="6" t="s">
        <v>201</v>
      </c>
      <c r="AU337" s="6" t="s">
        <v>103</v>
      </c>
      <c r="AY337" s="6" t="s">
        <v>172</v>
      </c>
      <c r="BE337" s="82">
        <f>IF($U$337="základní",$N$337,0)</f>
        <v>0</v>
      </c>
      <c r="BF337" s="82">
        <f>IF($U$337="snížená",$N$337,0)</f>
        <v>0</v>
      </c>
      <c r="BG337" s="82">
        <f>IF($U$337="zákl. přenesena",$N$337,0)</f>
        <v>0</v>
      </c>
      <c r="BH337" s="82">
        <f>IF($U$337="sníž. přenesena",$N$337,0)</f>
        <v>0</v>
      </c>
      <c r="BI337" s="82">
        <f>IF($U$337="nulová",$N$337,0)</f>
        <v>0</v>
      </c>
      <c r="BJ337" s="6" t="s">
        <v>103</v>
      </c>
    </row>
    <row r="338" spans="2:62" s="6" customFormat="1" ht="27" customHeight="1">
      <c r="B338" s="22"/>
      <c r="C338" s="127" t="s">
        <v>713</v>
      </c>
      <c r="D338" s="127" t="s">
        <v>173</v>
      </c>
      <c r="E338" s="128" t="s">
        <v>714</v>
      </c>
      <c r="F338" s="210" t="s">
        <v>715</v>
      </c>
      <c r="G338" s="211"/>
      <c r="H338" s="211"/>
      <c r="I338" s="211"/>
      <c r="J338" s="129" t="s">
        <v>247</v>
      </c>
      <c r="K338" s="130">
        <v>30</v>
      </c>
      <c r="L338" s="212">
        <v>0</v>
      </c>
      <c r="M338" s="211"/>
      <c r="N338" s="213">
        <f>ROUND($L$338*$K$338,2)</f>
        <v>0</v>
      </c>
      <c r="O338" s="211"/>
      <c r="P338" s="211"/>
      <c r="Q338" s="211"/>
      <c r="R338" s="24"/>
      <c r="T338" s="131"/>
      <c r="U338" s="30" t="s">
        <v>40</v>
      </c>
      <c r="V338" s="132">
        <v>0.497</v>
      </c>
      <c r="W338" s="132">
        <f>$V$338*$K$338</f>
        <v>14.91</v>
      </c>
      <c r="X338" s="132">
        <v>0</v>
      </c>
      <c r="Y338" s="132">
        <f>$X$338*$K$338</f>
        <v>0</v>
      </c>
      <c r="Z338" s="132">
        <v>0</v>
      </c>
      <c r="AA338" s="133">
        <f>$Z$338*$K$338</f>
        <v>0</v>
      </c>
      <c r="AR338" s="6" t="s">
        <v>358</v>
      </c>
      <c r="AT338" s="6" t="s">
        <v>173</v>
      </c>
      <c r="AU338" s="6" t="s">
        <v>103</v>
      </c>
      <c r="AY338" s="6" t="s">
        <v>172</v>
      </c>
      <c r="BE338" s="82">
        <f>IF($U$338="základní",$N$338,0)</f>
        <v>0</v>
      </c>
      <c r="BF338" s="82">
        <f>IF($U$338="snížená",$N$338,0)</f>
        <v>0</v>
      </c>
      <c r="BG338" s="82">
        <f>IF($U$338="zákl. přenesena",$N$338,0)</f>
        <v>0</v>
      </c>
      <c r="BH338" s="82">
        <f>IF($U$338="sníž. přenesena",$N$338,0)</f>
        <v>0</v>
      </c>
      <c r="BI338" s="82">
        <f>IF($U$338="nulová",$N$338,0)</f>
        <v>0</v>
      </c>
      <c r="BJ338" s="6" t="s">
        <v>103</v>
      </c>
    </row>
    <row r="339" spans="2:62" s="6" customFormat="1" ht="27" customHeight="1">
      <c r="B339" s="22"/>
      <c r="C339" s="134" t="s">
        <v>716</v>
      </c>
      <c r="D339" s="134" t="s">
        <v>201</v>
      </c>
      <c r="E339" s="135" t="s">
        <v>717</v>
      </c>
      <c r="F339" s="214" t="s">
        <v>718</v>
      </c>
      <c r="G339" s="215"/>
      <c r="H339" s="215"/>
      <c r="I339" s="215"/>
      <c r="J339" s="136" t="s">
        <v>260</v>
      </c>
      <c r="K339" s="137">
        <v>30</v>
      </c>
      <c r="L339" s="216">
        <v>0</v>
      </c>
      <c r="M339" s="215"/>
      <c r="N339" s="217">
        <f>ROUND($L$339*$K$339,2)</f>
        <v>0</v>
      </c>
      <c r="O339" s="211"/>
      <c r="P339" s="211"/>
      <c r="Q339" s="211"/>
      <c r="R339" s="24"/>
      <c r="T339" s="131"/>
      <c r="U339" s="30" t="s">
        <v>40</v>
      </c>
      <c r="V339" s="132">
        <v>0</v>
      </c>
      <c r="W339" s="132">
        <f>$V$339*$K$339</f>
        <v>0</v>
      </c>
      <c r="X339" s="132">
        <v>0.00021</v>
      </c>
      <c r="Y339" s="132">
        <f>$X$339*$K$339</f>
        <v>0.0063</v>
      </c>
      <c r="Z339" s="132">
        <v>0</v>
      </c>
      <c r="AA339" s="133">
        <f>$Z$339*$K$339</f>
        <v>0</v>
      </c>
      <c r="AR339" s="6" t="s">
        <v>545</v>
      </c>
      <c r="AT339" s="6" t="s">
        <v>201</v>
      </c>
      <c r="AU339" s="6" t="s">
        <v>103</v>
      </c>
      <c r="AY339" s="6" t="s">
        <v>172</v>
      </c>
      <c r="BE339" s="82">
        <f>IF($U$339="základní",$N$339,0)</f>
        <v>0</v>
      </c>
      <c r="BF339" s="82">
        <f>IF($U$339="snížená",$N$339,0)</f>
        <v>0</v>
      </c>
      <c r="BG339" s="82">
        <f>IF($U$339="zákl. přenesena",$N$339,0)</f>
        <v>0</v>
      </c>
      <c r="BH339" s="82">
        <f>IF($U$339="sníž. přenesena",$N$339,0)</f>
        <v>0</v>
      </c>
      <c r="BI339" s="82">
        <f>IF($U$339="nulová",$N$339,0)</f>
        <v>0</v>
      </c>
      <c r="BJ339" s="6" t="s">
        <v>103</v>
      </c>
    </row>
    <row r="340" spans="2:62" s="6" customFormat="1" ht="27" customHeight="1">
      <c r="B340" s="22"/>
      <c r="C340" s="134" t="s">
        <v>719</v>
      </c>
      <c r="D340" s="134" t="s">
        <v>201</v>
      </c>
      <c r="E340" s="135" t="s">
        <v>720</v>
      </c>
      <c r="F340" s="214" t="s">
        <v>721</v>
      </c>
      <c r="G340" s="215"/>
      <c r="H340" s="215"/>
      <c r="I340" s="215"/>
      <c r="J340" s="136" t="s">
        <v>475</v>
      </c>
      <c r="K340" s="137">
        <v>18.48</v>
      </c>
      <c r="L340" s="216">
        <v>0</v>
      </c>
      <c r="M340" s="215"/>
      <c r="N340" s="217">
        <f>ROUND($L$340*$K$340,2)</f>
        <v>0</v>
      </c>
      <c r="O340" s="211"/>
      <c r="P340" s="211"/>
      <c r="Q340" s="211"/>
      <c r="R340" s="24"/>
      <c r="T340" s="131"/>
      <c r="U340" s="30" t="s">
        <v>40</v>
      </c>
      <c r="V340" s="132">
        <v>0</v>
      </c>
      <c r="W340" s="132">
        <f>$V$340*$K$340</f>
        <v>0</v>
      </c>
      <c r="X340" s="132">
        <v>0.001</v>
      </c>
      <c r="Y340" s="132">
        <f>$X$340*$K$340</f>
        <v>0.01848</v>
      </c>
      <c r="Z340" s="132">
        <v>0</v>
      </c>
      <c r="AA340" s="133">
        <f>$Z$340*$K$340</f>
        <v>0</v>
      </c>
      <c r="AR340" s="6" t="s">
        <v>545</v>
      </c>
      <c r="AT340" s="6" t="s">
        <v>201</v>
      </c>
      <c r="AU340" s="6" t="s">
        <v>103</v>
      </c>
      <c r="AY340" s="6" t="s">
        <v>172</v>
      </c>
      <c r="BE340" s="82">
        <f>IF($U$340="základní",$N$340,0)</f>
        <v>0</v>
      </c>
      <c r="BF340" s="82">
        <f>IF($U$340="snížená",$N$340,0)</f>
        <v>0</v>
      </c>
      <c r="BG340" s="82">
        <f>IF($U$340="zákl. přenesena",$N$340,0)</f>
        <v>0</v>
      </c>
      <c r="BH340" s="82">
        <f>IF($U$340="sníž. přenesena",$N$340,0)</f>
        <v>0</v>
      </c>
      <c r="BI340" s="82">
        <f>IF($U$340="nulová",$N$340,0)</f>
        <v>0</v>
      </c>
      <c r="BJ340" s="6" t="s">
        <v>103</v>
      </c>
    </row>
    <row r="341" spans="2:62" s="6" customFormat="1" ht="27" customHeight="1">
      <c r="B341" s="22"/>
      <c r="C341" s="127" t="s">
        <v>722</v>
      </c>
      <c r="D341" s="127" t="s">
        <v>173</v>
      </c>
      <c r="E341" s="128" t="s">
        <v>723</v>
      </c>
      <c r="F341" s="210" t="s">
        <v>724</v>
      </c>
      <c r="G341" s="211"/>
      <c r="H341" s="211"/>
      <c r="I341" s="211"/>
      <c r="J341" s="129" t="s">
        <v>260</v>
      </c>
      <c r="K341" s="130">
        <v>15</v>
      </c>
      <c r="L341" s="212">
        <v>0</v>
      </c>
      <c r="M341" s="211"/>
      <c r="N341" s="213">
        <f>ROUND($L$341*$K$341,2)</f>
        <v>0</v>
      </c>
      <c r="O341" s="211"/>
      <c r="P341" s="211"/>
      <c r="Q341" s="211"/>
      <c r="R341" s="24"/>
      <c r="T341" s="131"/>
      <c r="U341" s="30" t="s">
        <v>40</v>
      </c>
      <c r="V341" s="132">
        <v>0.252</v>
      </c>
      <c r="W341" s="132">
        <f>$V$341*$K$341</f>
        <v>3.7800000000000002</v>
      </c>
      <c r="X341" s="132">
        <v>0</v>
      </c>
      <c r="Y341" s="132">
        <f>$X$341*$K$341</f>
        <v>0</v>
      </c>
      <c r="Z341" s="132">
        <v>0</v>
      </c>
      <c r="AA341" s="133">
        <f>$Z$341*$K$341</f>
        <v>0</v>
      </c>
      <c r="AR341" s="6" t="s">
        <v>358</v>
      </c>
      <c r="AT341" s="6" t="s">
        <v>173</v>
      </c>
      <c r="AU341" s="6" t="s">
        <v>103</v>
      </c>
      <c r="AY341" s="6" t="s">
        <v>172</v>
      </c>
      <c r="BE341" s="82">
        <f>IF($U$341="základní",$N$341,0)</f>
        <v>0</v>
      </c>
      <c r="BF341" s="82">
        <f>IF($U$341="snížená",$N$341,0)</f>
        <v>0</v>
      </c>
      <c r="BG341" s="82">
        <f>IF($U$341="zákl. přenesena",$N$341,0)</f>
        <v>0</v>
      </c>
      <c r="BH341" s="82">
        <f>IF($U$341="sníž. přenesena",$N$341,0)</f>
        <v>0</v>
      </c>
      <c r="BI341" s="82">
        <f>IF($U$341="nulová",$N$341,0)</f>
        <v>0</v>
      </c>
      <c r="BJ341" s="6" t="s">
        <v>103</v>
      </c>
    </row>
    <row r="342" spans="2:62" s="6" customFormat="1" ht="15.75" customHeight="1">
      <c r="B342" s="22"/>
      <c r="C342" s="134" t="s">
        <v>725</v>
      </c>
      <c r="D342" s="134" t="s">
        <v>201</v>
      </c>
      <c r="E342" s="135" t="s">
        <v>726</v>
      </c>
      <c r="F342" s="214" t="s">
        <v>727</v>
      </c>
      <c r="G342" s="215"/>
      <c r="H342" s="215"/>
      <c r="I342" s="215"/>
      <c r="J342" s="136" t="s">
        <v>260</v>
      </c>
      <c r="K342" s="137">
        <v>15</v>
      </c>
      <c r="L342" s="216">
        <v>0</v>
      </c>
      <c r="M342" s="215"/>
      <c r="N342" s="217">
        <f>ROUND($L$342*$K$342,2)</f>
        <v>0</v>
      </c>
      <c r="O342" s="211"/>
      <c r="P342" s="211"/>
      <c r="Q342" s="211"/>
      <c r="R342" s="24"/>
      <c r="T342" s="131"/>
      <c r="U342" s="30" t="s">
        <v>40</v>
      </c>
      <c r="V342" s="132">
        <v>0</v>
      </c>
      <c r="W342" s="132">
        <f>$V$342*$K$342</f>
        <v>0</v>
      </c>
      <c r="X342" s="132">
        <v>0.00023</v>
      </c>
      <c r="Y342" s="132">
        <f>$X$342*$K$342</f>
        <v>0.00345</v>
      </c>
      <c r="Z342" s="132">
        <v>0</v>
      </c>
      <c r="AA342" s="133">
        <f>$Z$342*$K$342</f>
        <v>0</v>
      </c>
      <c r="AR342" s="6" t="s">
        <v>545</v>
      </c>
      <c r="AT342" s="6" t="s">
        <v>201</v>
      </c>
      <c r="AU342" s="6" t="s">
        <v>103</v>
      </c>
      <c r="AY342" s="6" t="s">
        <v>172</v>
      </c>
      <c r="BE342" s="82">
        <f>IF($U$342="základní",$N$342,0)</f>
        <v>0</v>
      </c>
      <c r="BF342" s="82">
        <f>IF($U$342="snížená",$N$342,0)</f>
        <v>0</v>
      </c>
      <c r="BG342" s="82">
        <f>IF($U$342="zákl. přenesena",$N$342,0)</f>
        <v>0</v>
      </c>
      <c r="BH342" s="82">
        <f>IF($U$342="sníž. přenesena",$N$342,0)</f>
        <v>0</v>
      </c>
      <c r="BI342" s="82">
        <f>IF($U$342="nulová",$N$342,0)</f>
        <v>0</v>
      </c>
      <c r="BJ342" s="6" t="s">
        <v>103</v>
      </c>
    </row>
    <row r="343" spans="2:62" s="6" customFormat="1" ht="27" customHeight="1">
      <c r="B343" s="22"/>
      <c r="C343" s="127" t="s">
        <v>728</v>
      </c>
      <c r="D343" s="127" t="s">
        <v>173</v>
      </c>
      <c r="E343" s="128" t="s">
        <v>729</v>
      </c>
      <c r="F343" s="210" t="s">
        <v>730</v>
      </c>
      <c r="G343" s="211"/>
      <c r="H343" s="211"/>
      <c r="I343" s="211"/>
      <c r="J343" s="129" t="s">
        <v>260</v>
      </c>
      <c r="K343" s="130">
        <v>5</v>
      </c>
      <c r="L343" s="212">
        <v>0</v>
      </c>
      <c r="M343" s="211"/>
      <c r="N343" s="213">
        <f>ROUND($L$343*$K$343,2)</f>
        <v>0</v>
      </c>
      <c r="O343" s="211"/>
      <c r="P343" s="211"/>
      <c r="Q343" s="211"/>
      <c r="R343" s="24"/>
      <c r="T343" s="131"/>
      <c r="U343" s="30" t="s">
        <v>40</v>
      </c>
      <c r="V343" s="132">
        <v>0.352</v>
      </c>
      <c r="W343" s="132">
        <f>$V$343*$K$343</f>
        <v>1.7599999999999998</v>
      </c>
      <c r="X343" s="132">
        <v>0</v>
      </c>
      <c r="Y343" s="132">
        <f>$X$343*$K$343</f>
        <v>0</v>
      </c>
      <c r="Z343" s="132">
        <v>0</v>
      </c>
      <c r="AA343" s="133">
        <f>$Z$343*$K$343</f>
        <v>0</v>
      </c>
      <c r="AR343" s="6" t="s">
        <v>358</v>
      </c>
      <c r="AT343" s="6" t="s">
        <v>173</v>
      </c>
      <c r="AU343" s="6" t="s">
        <v>103</v>
      </c>
      <c r="AY343" s="6" t="s">
        <v>172</v>
      </c>
      <c r="BE343" s="82">
        <f>IF($U$343="základní",$N$343,0)</f>
        <v>0</v>
      </c>
      <c r="BF343" s="82">
        <f>IF($U$343="snížená",$N$343,0)</f>
        <v>0</v>
      </c>
      <c r="BG343" s="82">
        <f>IF($U$343="zákl. přenesena",$N$343,0)</f>
        <v>0</v>
      </c>
      <c r="BH343" s="82">
        <f>IF($U$343="sníž. přenesena",$N$343,0)</f>
        <v>0</v>
      </c>
      <c r="BI343" s="82">
        <f>IF($U$343="nulová",$N$343,0)</f>
        <v>0</v>
      </c>
      <c r="BJ343" s="6" t="s">
        <v>103</v>
      </c>
    </row>
    <row r="344" spans="2:62" s="6" customFormat="1" ht="27" customHeight="1">
      <c r="B344" s="22"/>
      <c r="C344" s="134" t="s">
        <v>731</v>
      </c>
      <c r="D344" s="134" t="s">
        <v>201</v>
      </c>
      <c r="E344" s="135" t="s">
        <v>732</v>
      </c>
      <c r="F344" s="214" t="s">
        <v>733</v>
      </c>
      <c r="G344" s="215"/>
      <c r="H344" s="215"/>
      <c r="I344" s="215"/>
      <c r="J344" s="136" t="s">
        <v>260</v>
      </c>
      <c r="K344" s="137">
        <v>5</v>
      </c>
      <c r="L344" s="216">
        <v>0</v>
      </c>
      <c r="M344" s="215"/>
      <c r="N344" s="217">
        <f>ROUND($L$344*$K$344,2)</f>
        <v>0</v>
      </c>
      <c r="O344" s="211"/>
      <c r="P344" s="211"/>
      <c r="Q344" s="211"/>
      <c r="R344" s="24"/>
      <c r="T344" s="131"/>
      <c r="U344" s="30" t="s">
        <v>40</v>
      </c>
      <c r="V344" s="132">
        <v>0</v>
      </c>
      <c r="W344" s="132">
        <f>$V$344*$K$344</f>
        <v>0</v>
      </c>
      <c r="X344" s="132">
        <v>0.00013</v>
      </c>
      <c r="Y344" s="132">
        <f>$X$344*$K$344</f>
        <v>0.00065</v>
      </c>
      <c r="Z344" s="132">
        <v>0</v>
      </c>
      <c r="AA344" s="133">
        <f>$Z$344*$K$344</f>
        <v>0</v>
      </c>
      <c r="AR344" s="6" t="s">
        <v>545</v>
      </c>
      <c r="AT344" s="6" t="s">
        <v>201</v>
      </c>
      <c r="AU344" s="6" t="s">
        <v>103</v>
      </c>
      <c r="AY344" s="6" t="s">
        <v>172</v>
      </c>
      <c r="BE344" s="82">
        <f>IF($U$344="základní",$N$344,0)</f>
        <v>0</v>
      </c>
      <c r="BF344" s="82">
        <f>IF($U$344="snížená",$N$344,0)</f>
        <v>0</v>
      </c>
      <c r="BG344" s="82">
        <f>IF($U$344="zákl. přenesena",$N$344,0)</f>
        <v>0</v>
      </c>
      <c r="BH344" s="82">
        <f>IF($U$344="sníž. přenesena",$N$344,0)</f>
        <v>0</v>
      </c>
      <c r="BI344" s="82">
        <f>IF($U$344="nulová",$N$344,0)</f>
        <v>0</v>
      </c>
      <c r="BJ344" s="6" t="s">
        <v>103</v>
      </c>
    </row>
    <row r="345" spans="2:62" s="6" customFormat="1" ht="27" customHeight="1">
      <c r="B345" s="22"/>
      <c r="C345" s="127" t="s">
        <v>734</v>
      </c>
      <c r="D345" s="127" t="s">
        <v>173</v>
      </c>
      <c r="E345" s="128" t="s">
        <v>735</v>
      </c>
      <c r="F345" s="210" t="s">
        <v>736</v>
      </c>
      <c r="G345" s="211"/>
      <c r="H345" s="211"/>
      <c r="I345" s="211"/>
      <c r="J345" s="129" t="s">
        <v>260</v>
      </c>
      <c r="K345" s="130">
        <v>1</v>
      </c>
      <c r="L345" s="212">
        <v>0</v>
      </c>
      <c r="M345" s="211"/>
      <c r="N345" s="213">
        <f>ROUND($L$345*$K$345,2)</f>
        <v>0</v>
      </c>
      <c r="O345" s="211"/>
      <c r="P345" s="211"/>
      <c r="Q345" s="211"/>
      <c r="R345" s="24"/>
      <c r="T345" s="131"/>
      <c r="U345" s="30" t="s">
        <v>40</v>
      </c>
      <c r="V345" s="132">
        <v>9.597</v>
      </c>
      <c r="W345" s="132">
        <f>$V$345*$K$345</f>
        <v>9.597</v>
      </c>
      <c r="X345" s="132">
        <v>0</v>
      </c>
      <c r="Y345" s="132">
        <f>$X$345*$K$345</f>
        <v>0</v>
      </c>
      <c r="Z345" s="132">
        <v>0</v>
      </c>
      <c r="AA345" s="133">
        <f>$Z$345*$K$345</f>
        <v>0</v>
      </c>
      <c r="AR345" s="6" t="s">
        <v>358</v>
      </c>
      <c r="AT345" s="6" t="s">
        <v>173</v>
      </c>
      <c r="AU345" s="6" t="s">
        <v>103</v>
      </c>
      <c r="AY345" s="6" t="s">
        <v>172</v>
      </c>
      <c r="BE345" s="82">
        <f>IF($U$345="základní",$N$345,0)</f>
        <v>0</v>
      </c>
      <c r="BF345" s="82">
        <f>IF($U$345="snížená",$N$345,0)</f>
        <v>0</v>
      </c>
      <c r="BG345" s="82">
        <f>IF($U$345="zákl. přenesena",$N$345,0)</f>
        <v>0</v>
      </c>
      <c r="BH345" s="82">
        <f>IF($U$345="sníž. přenesena",$N$345,0)</f>
        <v>0</v>
      </c>
      <c r="BI345" s="82">
        <f>IF($U$345="nulová",$N$345,0)</f>
        <v>0</v>
      </c>
      <c r="BJ345" s="6" t="s">
        <v>103</v>
      </c>
    </row>
    <row r="346" spans="2:62" s="6" customFormat="1" ht="15.75" customHeight="1">
      <c r="B346" s="22"/>
      <c r="C346" s="127" t="s">
        <v>737</v>
      </c>
      <c r="D346" s="127" t="s">
        <v>173</v>
      </c>
      <c r="E346" s="128" t="s">
        <v>738</v>
      </c>
      <c r="F346" s="210" t="s">
        <v>739</v>
      </c>
      <c r="G346" s="211"/>
      <c r="H346" s="211"/>
      <c r="I346" s="211"/>
      <c r="J346" s="129" t="s">
        <v>468</v>
      </c>
      <c r="K346" s="138">
        <v>0</v>
      </c>
      <c r="L346" s="212">
        <v>0</v>
      </c>
      <c r="M346" s="211"/>
      <c r="N346" s="213">
        <f>ROUND($L$346*$K$346,2)</f>
        <v>0</v>
      </c>
      <c r="O346" s="211"/>
      <c r="P346" s="211"/>
      <c r="Q346" s="211"/>
      <c r="R346" s="24"/>
      <c r="T346" s="131"/>
      <c r="U346" s="30" t="s">
        <v>40</v>
      </c>
      <c r="V346" s="132">
        <v>0</v>
      </c>
      <c r="W346" s="132">
        <f>$V$346*$K$346</f>
        <v>0</v>
      </c>
      <c r="X346" s="132">
        <v>0</v>
      </c>
      <c r="Y346" s="132">
        <f>$X$346*$K$346</f>
        <v>0</v>
      </c>
      <c r="Z346" s="132">
        <v>0</v>
      </c>
      <c r="AA346" s="133">
        <f>$Z$346*$K$346</f>
        <v>0</v>
      </c>
      <c r="AR346" s="6" t="s">
        <v>545</v>
      </c>
      <c r="AT346" s="6" t="s">
        <v>173</v>
      </c>
      <c r="AU346" s="6" t="s">
        <v>103</v>
      </c>
      <c r="AY346" s="6" t="s">
        <v>172</v>
      </c>
      <c r="BE346" s="82">
        <f>IF($U$346="základní",$N$346,0)</f>
        <v>0</v>
      </c>
      <c r="BF346" s="82">
        <f>IF($U$346="snížená",$N$346,0)</f>
        <v>0</v>
      </c>
      <c r="BG346" s="82">
        <f>IF($U$346="zákl. přenesena",$N$346,0)</f>
        <v>0</v>
      </c>
      <c r="BH346" s="82">
        <f>IF($U$346="sníž. přenesena",$N$346,0)</f>
        <v>0</v>
      </c>
      <c r="BI346" s="82">
        <f>IF($U$346="nulová",$N$346,0)</f>
        <v>0</v>
      </c>
      <c r="BJ346" s="6" t="s">
        <v>103</v>
      </c>
    </row>
    <row r="347" spans="2:62" s="6" customFormat="1" ht="15.75" customHeight="1">
      <c r="B347" s="22"/>
      <c r="C347" s="127" t="s">
        <v>740</v>
      </c>
      <c r="D347" s="127" t="s">
        <v>173</v>
      </c>
      <c r="E347" s="128" t="s">
        <v>741</v>
      </c>
      <c r="F347" s="210" t="s">
        <v>742</v>
      </c>
      <c r="G347" s="211"/>
      <c r="H347" s="211"/>
      <c r="I347" s="211"/>
      <c r="J347" s="129" t="s">
        <v>468</v>
      </c>
      <c r="K347" s="138">
        <v>0</v>
      </c>
      <c r="L347" s="212">
        <v>0</v>
      </c>
      <c r="M347" s="211"/>
      <c r="N347" s="213">
        <f>ROUND($L$347*$K$347,2)</f>
        <v>0</v>
      </c>
      <c r="O347" s="211"/>
      <c r="P347" s="211"/>
      <c r="Q347" s="211"/>
      <c r="R347" s="24"/>
      <c r="T347" s="131"/>
      <c r="U347" s="30" t="s">
        <v>40</v>
      </c>
      <c r="V347" s="132">
        <v>0</v>
      </c>
      <c r="W347" s="132">
        <f>$V$347*$K$347</f>
        <v>0</v>
      </c>
      <c r="X347" s="132">
        <v>0</v>
      </c>
      <c r="Y347" s="132">
        <f>$X$347*$K$347</f>
        <v>0</v>
      </c>
      <c r="Z347" s="132">
        <v>0</v>
      </c>
      <c r="AA347" s="133">
        <f>$Z$347*$K$347</f>
        <v>0</v>
      </c>
      <c r="AR347" s="6" t="s">
        <v>358</v>
      </c>
      <c r="AT347" s="6" t="s">
        <v>173</v>
      </c>
      <c r="AU347" s="6" t="s">
        <v>103</v>
      </c>
      <c r="AY347" s="6" t="s">
        <v>172</v>
      </c>
      <c r="BE347" s="82">
        <f>IF($U$347="základní",$N$347,0)</f>
        <v>0</v>
      </c>
      <c r="BF347" s="82">
        <f>IF($U$347="snížená",$N$347,0)</f>
        <v>0</v>
      </c>
      <c r="BG347" s="82">
        <f>IF($U$347="zákl. přenesena",$N$347,0)</f>
        <v>0</v>
      </c>
      <c r="BH347" s="82">
        <f>IF($U$347="sníž. přenesena",$N$347,0)</f>
        <v>0</v>
      </c>
      <c r="BI347" s="82">
        <f>IF($U$347="nulová",$N$347,0)</f>
        <v>0</v>
      </c>
      <c r="BJ347" s="6" t="s">
        <v>103</v>
      </c>
    </row>
    <row r="348" spans="2:62" s="6" customFormat="1" ht="15.75" customHeight="1">
      <c r="B348" s="22"/>
      <c r="C348" s="127" t="s">
        <v>743</v>
      </c>
      <c r="D348" s="127" t="s">
        <v>173</v>
      </c>
      <c r="E348" s="128" t="s">
        <v>744</v>
      </c>
      <c r="F348" s="210" t="s">
        <v>745</v>
      </c>
      <c r="G348" s="211"/>
      <c r="H348" s="211"/>
      <c r="I348" s="211"/>
      <c r="J348" s="129" t="s">
        <v>468</v>
      </c>
      <c r="K348" s="138">
        <v>0</v>
      </c>
      <c r="L348" s="212">
        <v>0</v>
      </c>
      <c r="M348" s="211"/>
      <c r="N348" s="213">
        <f>ROUND($L$348*$K$348,2)</f>
        <v>0</v>
      </c>
      <c r="O348" s="211"/>
      <c r="P348" s="211"/>
      <c r="Q348" s="211"/>
      <c r="R348" s="24"/>
      <c r="T348" s="131"/>
      <c r="U348" s="30" t="s">
        <v>40</v>
      </c>
      <c r="V348" s="132">
        <v>0</v>
      </c>
      <c r="W348" s="132">
        <f>$V$348*$K$348</f>
        <v>0</v>
      </c>
      <c r="X348" s="132">
        <v>0</v>
      </c>
      <c r="Y348" s="132">
        <f>$X$348*$K$348</f>
        <v>0</v>
      </c>
      <c r="Z348" s="132">
        <v>0</v>
      </c>
      <c r="AA348" s="133">
        <f>$Z$348*$K$348</f>
        <v>0</v>
      </c>
      <c r="AR348" s="6" t="s">
        <v>358</v>
      </c>
      <c r="AT348" s="6" t="s">
        <v>173</v>
      </c>
      <c r="AU348" s="6" t="s">
        <v>103</v>
      </c>
      <c r="AY348" s="6" t="s">
        <v>172</v>
      </c>
      <c r="BE348" s="82">
        <f>IF($U$348="základní",$N$348,0)</f>
        <v>0</v>
      </c>
      <c r="BF348" s="82">
        <f>IF($U$348="snížená",$N$348,0)</f>
        <v>0</v>
      </c>
      <c r="BG348" s="82">
        <f>IF($U$348="zákl. přenesena",$N$348,0)</f>
        <v>0</v>
      </c>
      <c r="BH348" s="82">
        <f>IF($U$348="sníž. přenesena",$N$348,0)</f>
        <v>0</v>
      </c>
      <c r="BI348" s="82">
        <f>IF($U$348="nulová",$N$348,0)</f>
        <v>0</v>
      </c>
      <c r="BJ348" s="6" t="s">
        <v>103</v>
      </c>
    </row>
    <row r="349" spans="2:51" s="117" customFormat="1" ht="30.75" customHeight="1">
      <c r="B349" s="118"/>
      <c r="C349" s="119"/>
      <c r="D349" s="126" t="s">
        <v>146</v>
      </c>
      <c r="E349" s="119"/>
      <c r="F349" s="119"/>
      <c r="G349" s="119"/>
      <c r="H349" s="119"/>
      <c r="I349" s="119"/>
      <c r="J349" s="119"/>
      <c r="K349" s="119"/>
      <c r="L349" s="119"/>
      <c r="M349" s="119"/>
      <c r="N349" s="221">
        <f>SUM($N$350:$N$353)</f>
        <v>0</v>
      </c>
      <c r="O349" s="220"/>
      <c r="P349" s="220"/>
      <c r="Q349" s="220"/>
      <c r="R349" s="121"/>
      <c r="T349" s="122"/>
      <c r="U349" s="119"/>
      <c r="V349" s="119"/>
      <c r="W349" s="123">
        <f>SUM($W$350:$W$353)</f>
        <v>0</v>
      </c>
      <c r="X349" s="119"/>
      <c r="Y349" s="123">
        <f>SUM($Y$350:$Y$353)</f>
        <v>0</v>
      </c>
      <c r="Z349" s="119"/>
      <c r="AA349" s="124">
        <f>SUM($AA$350:$AA$353)</f>
        <v>0</v>
      </c>
      <c r="AR349" s="125" t="s">
        <v>180</v>
      </c>
      <c r="AT349" s="125" t="s">
        <v>72</v>
      </c>
      <c r="AU349" s="125" t="s">
        <v>17</v>
      </c>
      <c r="AY349" s="125" t="s">
        <v>172</v>
      </c>
    </row>
    <row r="350" spans="2:62" s="6" customFormat="1" ht="27" customHeight="1">
      <c r="B350" s="22"/>
      <c r="C350" s="127" t="s">
        <v>746</v>
      </c>
      <c r="D350" s="127" t="s">
        <v>173</v>
      </c>
      <c r="E350" s="128" t="s">
        <v>747</v>
      </c>
      <c r="F350" s="210" t="s">
        <v>748</v>
      </c>
      <c r="G350" s="211"/>
      <c r="H350" s="211"/>
      <c r="I350" s="211"/>
      <c r="J350" s="129" t="s">
        <v>749</v>
      </c>
      <c r="K350" s="130">
        <v>1</v>
      </c>
      <c r="L350" s="212">
        <v>0</v>
      </c>
      <c r="M350" s="211"/>
      <c r="N350" s="213">
        <f>ROUND($L$350*$K$350,2)</f>
        <v>0</v>
      </c>
      <c r="O350" s="211"/>
      <c r="P350" s="211"/>
      <c r="Q350" s="211"/>
      <c r="R350" s="24"/>
      <c r="T350" s="131"/>
      <c r="U350" s="30" t="s">
        <v>40</v>
      </c>
      <c r="V350" s="132">
        <v>0</v>
      </c>
      <c r="W350" s="132">
        <f>$V$350*$K$350</f>
        <v>0</v>
      </c>
      <c r="X350" s="132">
        <v>0</v>
      </c>
      <c r="Y350" s="132">
        <f>$X$350*$K$350</f>
        <v>0</v>
      </c>
      <c r="Z350" s="132">
        <v>0</v>
      </c>
      <c r="AA350" s="133">
        <f>$Z$350*$K$350</f>
        <v>0</v>
      </c>
      <c r="AR350" s="6" t="s">
        <v>358</v>
      </c>
      <c r="AT350" s="6" t="s">
        <v>173</v>
      </c>
      <c r="AU350" s="6" t="s">
        <v>103</v>
      </c>
      <c r="AY350" s="6" t="s">
        <v>172</v>
      </c>
      <c r="BE350" s="82">
        <f>IF($U$350="základní",$N$350,0)</f>
        <v>0</v>
      </c>
      <c r="BF350" s="82">
        <f>IF($U$350="snížená",$N$350,0)</f>
        <v>0</v>
      </c>
      <c r="BG350" s="82">
        <f>IF($U$350="zákl. přenesena",$N$350,0)</f>
        <v>0</v>
      </c>
      <c r="BH350" s="82">
        <f>IF($U$350="sníž. přenesena",$N$350,0)</f>
        <v>0</v>
      </c>
      <c r="BI350" s="82">
        <f>IF($U$350="nulová",$N$350,0)</f>
        <v>0</v>
      </c>
      <c r="BJ350" s="6" t="s">
        <v>103</v>
      </c>
    </row>
    <row r="351" spans="2:62" s="6" customFormat="1" ht="15.75" customHeight="1">
      <c r="B351" s="22"/>
      <c r="C351" s="127" t="s">
        <v>750</v>
      </c>
      <c r="D351" s="127" t="s">
        <v>173</v>
      </c>
      <c r="E351" s="128" t="s">
        <v>751</v>
      </c>
      <c r="F351" s="210" t="s">
        <v>752</v>
      </c>
      <c r="G351" s="211"/>
      <c r="H351" s="211"/>
      <c r="I351" s="211"/>
      <c r="J351" s="129" t="s">
        <v>749</v>
      </c>
      <c r="K351" s="130">
        <v>1</v>
      </c>
      <c r="L351" s="212">
        <v>0</v>
      </c>
      <c r="M351" s="211"/>
      <c r="N351" s="213">
        <f>ROUND($L$351*$K$351,2)</f>
        <v>0</v>
      </c>
      <c r="O351" s="211"/>
      <c r="P351" s="211"/>
      <c r="Q351" s="211"/>
      <c r="R351" s="24"/>
      <c r="T351" s="131"/>
      <c r="U351" s="30" t="s">
        <v>40</v>
      </c>
      <c r="V351" s="132">
        <v>0</v>
      </c>
      <c r="W351" s="132">
        <f>$V$351*$K$351</f>
        <v>0</v>
      </c>
      <c r="X351" s="132">
        <v>0</v>
      </c>
      <c r="Y351" s="132">
        <f>$X$351*$K$351</f>
        <v>0</v>
      </c>
      <c r="Z351" s="132">
        <v>0</v>
      </c>
      <c r="AA351" s="133">
        <f>$Z$351*$K$351</f>
        <v>0</v>
      </c>
      <c r="AR351" s="6" t="s">
        <v>358</v>
      </c>
      <c r="AT351" s="6" t="s">
        <v>173</v>
      </c>
      <c r="AU351" s="6" t="s">
        <v>103</v>
      </c>
      <c r="AY351" s="6" t="s">
        <v>172</v>
      </c>
      <c r="BE351" s="82">
        <f>IF($U$351="základní",$N$351,0)</f>
        <v>0</v>
      </c>
      <c r="BF351" s="82">
        <f>IF($U$351="snížená",$N$351,0)</f>
        <v>0</v>
      </c>
      <c r="BG351" s="82">
        <f>IF($U$351="zákl. přenesena",$N$351,0)</f>
        <v>0</v>
      </c>
      <c r="BH351" s="82">
        <f>IF($U$351="sníž. přenesena",$N$351,0)</f>
        <v>0</v>
      </c>
      <c r="BI351" s="82">
        <f>IF($U$351="nulová",$N$351,0)</f>
        <v>0</v>
      </c>
      <c r="BJ351" s="6" t="s">
        <v>103</v>
      </c>
    </row>
    <row r="352" spans="2:62" s="6" customFormat="1" ht="15.75" customHeight="1">
      <c r="B352" s="22"/>
      <c r="C352" s="127" t="s">
        <v>753</v>
      </c>
      <c r="D352" s="127" t="s">
        <v>173</v>
      </c>
      <c r="E352" s="128" t="s">
        <v>741</v>
      </c>
      <c r="F352" s="210" t="s">
        <v>742</v>
      </c>
      <c r="G352" s="211"/>
      <c r="H352" s="211"/>
      <c r="I352" s="211"/>
      <c r="J352" s="129" t="s">
        <v>468</v>
      </c>
      <c r="K352" s="138">
        <v>0</v>
      </c>
      <c r="L352" s="212">
        <v>0</v>
      </c>
      <c r="M352" s="211"/>
      <c r="N352" s="213">
        <f>ROUND($L$352*$K$352,2)</f>
        <v>0</v>
      </c>
      <c r="O352" s="211"/>
      <c r="P352" s="211"/>
      <c r="Q352" s="211"/>
      <c r="R352" s="24"/>
      <c r="T352" s="131"/>
      <c r="U352" s="30" t="s">
        <v>40</v>
      </c>
      <c r="V352" s="132">
        <v>0</v>
      </c>
      <c r="W352" s="132">
        <f>$V$352*$K$352</f>
        <v>0</v>
      </c>
      <c r="X352" s="132">
        <v>0</v>
      </c>
      <c r="Y352" s="132">
        <f>$X$352*$K$352</f>
        <v>0</v>
      </c>
      <c r="Z352" s="132">
        <v>0</v>
      </c>
      <c r="AA352" s="133">
        <f>$Z$352*$K$352</f>
        <v>0</v>
      </c>
      <c r="AR352" s="6" t="s">
        <v>358</v>
      </c>
      <c r="AT352" s="6" t="s">
        <v>173</v>
      </c>
      <c r="AU352" s="6" t="s">
        <v>103</v>
      </c>
      <c r="AY352" s="6" t="s">
        <v>172</v>
      </c>
      <c r="BE352" s="82">
        <f>IF($U$352="základní",$N$352,0)</f>
        <v>0</v>
      </c>
      <c r="BF352" s="82">
        <f>IF($U$352="snížená",$N$352,0)</f>
        <v>0</v>
      </c>
      <c r="BG352" s="82">
        <f>IF($U$352="zákl. přenesena",$N$352,0)</f>
        <v>0</v>
      </c>
      <c r="BH352" s="82">
        <f>IF($U$352="sníž. přenesena",$N$352,0)</f>
        <v>0</v>
      </c>
      <c r="BI352" s="82">
        <f>IF($U$352="nulová",$N$352,0)</f>
        <v>0</v>
      </c>
      <c r="BJ352" s="6" t="s">
        <v>103</v>
      </c>
    </row>
    <row r="353" spans="2:62" s="6" customFormat="1" ht="15.75" customHeight="1">
      <c r="B353" s="22"/>
      <c r="C353" s="127" t="s">
        <v>754</v>
      </c>
      <c r="D353" s="127" t="s">
        <v>173</v>
      </c>
      <c r="E353" s="128" t="s">
        <v>744</v>
      </c>
      <c r="F353" s="210" t="s">
        <v>745</v>
      </c>
      <c r="G353" s="211"/>
      <c r="H353" s="211"/>
      <c r="I353" s="211"/>
      <c r="J353" s="129" t="s">
        <v>468</v>
      </c>
      <c r="K353" s="138">
        <v>0</v>
      </c>
      <c r="L353" s="212">
        <v>0</v>
      </c>
      <c r="M353" s="211"/>
      <c r="N353" s="213">
        <f>ROUND($L$353*$K$353,2)</f>
        <v>0</v>
      </c>
      <c r="O353" s="211"/>
      <c r="P353" s="211"/>
      <c r="Q353" s="211"/>
      <c r="R353" s="24"/>
      <c r="T353" s="131"/>
      <c r="U353" s="30" t="s">
        <v>40</v>
      </c>
      <c r="V353" s="132">
        <v>0</v>
      </c>
      <c r="W353" s="132">
        <f>$V$353*$K$353</f>
        <v>0</v>
      </c>
      <c r="X353" s="132">
        <v>0</v>
      </c>
      <c r="Y353" s="132">
        <f>$X$353*$K$353</f>
        <v>0</v>
      </c>
      <c r="Z353" s="132">
        <v>0</v>
      </c>
      <c r="AA353" s="133">
        <f>$Z$353*$K$353</f>
        <v>0</v>
      </c>
      <c r="AR353" s="6" t="s">
        <v>358</v>
      </c>
      <c r="AT353" s="6" t="s">
        <v>173</v>
      </c>
      <c r="AU353" s="6" t="s">
        <v>103</v>
      </c>
      <c r="AY353" s="6" t="s">
        <v>172</v>
      </c>
      <c r="BE353" s="82">
        <f>IF($U$353="základní",$N$353,0)</f>
        <v>0</v>
      </c>
      <c r="BF353" s="82">
        <f>IF($U$353="snížená",$N$353,0)</f>
        <v>0</v>
      </c>
      <c r="BG353" s="82">
        <f>IF($U$353="zákl. přenesena",$N$353,0)</f>
        <v>0</v>
      </c>
      <c r="BH353" s="82">
        <f>IF($U$353="sníž. přenesena",$N$353,0)</f>
        <v>0</v>
      </c>
      <c r="BI353" s="82">
        <f>IF($U$353="nulová",$N$353,0)</f>
        <v>0</v>
      </c>
      <c r="BJ353" s="6" t="s">
        <v>103</v>
      </c>
    </row>
    <row r="354" spans="2:51" s="6" customFormat="1" ht="51" customHeight="1">
      <c r="B354" s="22"/>
      <c r="C354" s="23"/>
      <c r="D354" s="120" t="s">
        <v>755</v>
      </c>
      <c r="E354" s="23"/>
      <c r="F354" s="23"/>
      <c r="G354" s="23"/>
      <c r="H354" s="23"/>
      <c r="I354" s="23"/>
      <c r="J354" s="23"/>
      <c r="K354" s="23"/>
      <c r="L354" s="23"/>
      <c r="M354" s="23"/>
      <c r="N354" s="219">
        <v>0</v>
      </c>
      <c r="O354" s="178"/>
      <c r="P354" s="178"/>
      <c r="Q354" s="178"/>
      <c r="R354" s="24"/>
      <c r="T354" s="139"/>
      <c r="U354" s="42"/>
      <c r="V354" s="42"/>
      <c r="W354" s="42"/>
      <c r="X354" s="42"/>
      <c r="Y354" s="42"/>
      <c r="Z354" s="42"/>
      <c r="AA354" s="44"/>
      <c r="AT354" s="6" t="s">
        <v>72</v>
      </c>
      <c r="AU354" s="6" t="s">
        <v>73</v>
      </c>
      <c r="AY354" s="6" t="s">
        <v>756</v>
      </c>
    </row>
    <row r="355" spans="2:18" s="6" customFormat="1" ht="7.5" customHeight="1">
      <c r="B355" s="45"/>
      <c r="C355" s="46"/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7"/>
    </row>
    <row r="356" s="2" customFormat="1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498" ht="14.25" customHeight="1">
      <c r="N498" s="1"/>
    </row>
    <row r="499" ht="14.25" customHeight="1">
      <c r="N499" s="1"/>
    </row>
    <row r="500" ht="14.25" customHeight="1">
      <c r="N500" s="1"/>
    </row>
    <row r="65535" ht="14.25" customHeight="1">
      <c r="N65535" s="2">
        <f>$N$354</f>
        <v>0</v>
      </c>
    </row>
  </sheetData>
  <sheetProtection password="CC35" sheet="1" objects="1" scenarios="1" formatColumns="0" formatRows="0" sort="0" autoFilter="0"/>
  <mergeCells count="702">
    <mergeCell ref="N334:Q334"/>
    <mergeCell ref="N335:Q335"/>
    <mergeCell ref="N349:Q349"/>
    <mergeCell ref="N354:Q354"/>
    <mergeCell ref="H1:K1"/>
    <mergeCell ref="S2:AC2"/>
    <mergeCell ref="N256:Q256"/>
    <mergeCell ref="N262:Q262"/>
    <mergeCell ref="N296:Q296"/>
    <mergeCell ref="N316:Q316"/>
    <mergeCell ref="N331:Q331"/>
    <mergeCell ref="N200:Q200"/>
    <mergeCell ref="N228:Q228"/>
    <mergeCell ref="N230:Q230"/>
    <mergeCell ref="N231:Q231"/>
    <mergeCell ref="N247:Q247"/>
    <mergeCell ref="N252:Q252"/>
    <mergeCell ref="F353:I353"/>
    <mergeCell ref="L353:M353"/>
    <mergeCell ref="N353:Q353"/>
    <mergeCell ref="N134:Q134"/>
    <mergeCell ref="N135:Q135"/>
    <mergeCell ref="N136:Q136"/>
    <mergeCell ref="N147:Q147"/>
    <mergeCell ref="N152:Q152"/>
    <mergeCell ref="N157:Q157"/>
    <mergeCell ref="N161:Q161"/>
    <mergeCell ref="F351:I351"/>
    <mergeCell ref="L351:M351"/>
    <mergeCell ref="N351:Q351"/>
    <mergeCell ref="F352:I352"/>
    <mergeCell ref="L352:M352"/>
    <mergeCell ref="N352:Q352"/>
    <mergeCell ref="F348:I348"/>
    <mergeCell ref="L348:M348"/>
    <mergeCell ref="N348:Q348"/>
    <mergeCell ref="F350:I350"/>
    <mergeCell ref="L350:M350"/>
    <mergeCell ref="N350:Q350"/>
    <mergeCell ref="F346:I346"/>
    <mergeCell ref="L346:M346"/>
    <mergeCell ref="N346:Q346"/>
    <mergeCell ref="F347:I347"/>
    <mergeCell ref="L347:M347"/>
    <mergeCell ref="N347:Q347"/>
    <mergeCell ref="F344:I344"/>
    <mergeCell ref="L344:M344"/>
    <mergeCell ref="N344:Q344"/>
    <mergeCell ref="F345:I345"/>
    <mergeCell ref="L345:M345"/>
    <mergeCell ref="N345:Q345"/>
    <mergeCell ref="F342:I342"/>
    <mergeCell ref="L342:M342"/>
    <mergeCell ref="N342:Q342"/>
    <mergeCell ref="F343:I343"/>
    <mergeCell ref="L343:M343"/>
    <mergeCell ref="N343:Q343"/>
    <mergeCell ref="F340:I340"/>
    <mergeCell ref="L340:M340"/>
    <mergeCell ref="N340:Q340"/>
    <mergeCell ref="F341:I341"/>
    <mergeCell ref="L341:M341"/>
    <mergeCell ref="N341:Q341"/>
    <mergeCell ref="F338:I338"/>
    <mergeCell ref="L338:M338"/>
    <mergeCell ref="N338:Q338"/>
    <mergeCell ref="F339:I339"/>
    <mergeCell ref="L339:M339"/>
    <mergeCell ref="N339:Q339"/>
    <mergeCell ref="F336:I336"/>
    <mergeCell ref="L336:M336"/>
    <mergeCell ref="N336:Q336"/>
    <mergeCell ref="F337:I337"/>
    <mergeCell ref="L337:M337"/>
    <mergeCell ref="N337:Q337"/>
    <mergeCell ref="F332:I332"/>
    <mergeCell ref="L332:M332"/>
    <mergeCell ref="N332:Q332"/>
    <mergeCell ref="F333:I333"/>
    <mergeCell ref="L333:M333"/>
    <mergeCell ref="N333:Q333"/>
    <mergeCell ref="F329:I329"/>
    <mergeCell ref="L329:M329"/>
    <mergeCell ref="N329:Q329"/>
    <mergeCell ref="F330:I330"/>
    <mergeCell ref="L330:M330"/>
    <mergeCell ref="N330:Q330"/>
    <mergeCell ref="F327:I327"/>
    <mergeCell ref="L327:M327"/>
    <mergeCell ref="N327:Q327"/>
    <mergeCell ref="F328:I328"/>
    <mergeCell ref="L328:M328"/>
    <mergeCell ref="N328:Q328"/>
    <mergeCell ref="F324:I324"/>
    <mergeCell ref="L324:M324"/>
    <mergeCell ref="N324:Q324"/>
    <mergeCell ref="F326:I326"/>
    <mergeCell ref="L326:M326"/>
    <mergeCell ref="N326:Q326"/>
    <mergeCell ref="N325:Q325"/>
    <mergeCell ref="F322:I322"/>
    <mergeCell ref="L322:M322"/>
    <mergeCell ref="N322:Q322"/>
    <mergeCell ref="F323:I323"/>
    <mergeCell ref="L323:M323"/>
    <mergeCell ref="N323:Q323"/>
    <mergeCell ref="F320:I320"/>
    <mergeCell ref="L320:M320"/>
    <mergeCell ref="N320:Q320"/>
    <mergeCell ref="F321:I321"/>
    <mergeCell ref="L321:M321"/>
    <mergeCell ref="N321:Q321"/>
    <mergeCell ref="F318:I318"/>
    <mergeCell ref="L318:M318"/>
    <mergeCell ref="N318:Q318"/>
    <mergeCell ref="F319:I319"/>
    <mergeCell ref="L319:M319"/>
    <mergeCell ref="N319:Q319"/>
    <mergeCell ref="F315:I315"/>
    <mergeCell ref="L315:M315"/>
    <mergeCell ref="N315:Q315"/>
    <mergeCell ref="F317:I317"/>
    <mergeCell ref="L317:M317"/>
    <mergeCell ref="N317:Q317"/>
    <mergeCell ref="F313:I313"/>
    <mergeCell ref="L313:M313"/>
    <mergeCell ref="N313:Q313"/>
    <mergeCell ref="F314:I314"/>
    <mergeCell ref="L314:M314"/>
    <mergeCell ref="N314:Q314"/>
    <mergeCell ref="F311:I311"/>
    <mergeCell ref="L311:M311"/>
    <mergeCell ref="N311:Q311"/>
    <mergeCell ref="F312:I312"/>
    <mergeCell ref="L312:M312"/>
    <mergeCell ref="N312:Q312"/>
    <mergeCell ref="F309:I309"/>
    <mergeCell ref="L309:M309"/>
    <mergeCell ref="N309:Q309"/>
    <mergeCell ref="F310:I310"/>
    <mergeCell ref="L310:M310"/>
    <mergeCell ref="N310:Q310"/>
    <mergeCell ref="F307:I307"/>
    <mergeCell ref="L307:M307"/>
    <mergeCell ref="N307:Q307"/>
    <mergeCell ref="F308:I308"/>
    <mergeCell ref="L308:M308"/>
    <mergeCell ref="N308:Q308"/>
    <mergeCell ref="F305:I305"/>
    <mergeCell ref="L305:M305"/>
    <mergeCell ref="N305:Q305"/>
    <mergeCell ref="F306:I306"/>
    <mergeCell ref="L306:M306"/>
    <mergeCell ref="N306:Q306"/>
    <mergeCell ref="F303:I303"/>
    <mergeCell ref="L303:M303"/>
    <mergeCell ref="N303:Q303"/>
    <mergeCell ref="F304:I304"/>
    <mergeCell ref="L304:M304"/>
    <mergeCell ref="N304:Q304"/>
    <mergeCell ref="F301:I301"/>
    <mergeCell ref="L301:M301"/>
    <mergeCell ref="N301:Q301"/>
    <mergeCell ref="F302:I302"/>
    <mergeCell ref="L302:M302"/>
    <mergeCell ref="N302:Q302"/>
    <mergeCell ref="F299:I299"/>
    <mergeCell ref="L299:M299"/>
    <mergeCell ref="N299:Q299"/>
    <mergeCell ref="F300:I300"/>
    <mergeCell ref="L300:M300"/>
    <mergeCell ref="N300:Q300"/>
    <mergeCell ref="F297:I297"/>
    <mergeCell ref="L297:M297"/>
    <mergeCell ref="N297:Q297"/>
    <mergeCell ref="F298:I298"/>
    <mergeCell ref="L298:M298"/>
    <mergeCell ref="N298:Q298"/>
    <mergeCell ref="F294:I294"/>
    <mergeCell ref="L294:M294"/>
    <mergeCell ref="N294:Q294"/>
    <mergeCell ref="F295:I295"/>
    <mergeCell ref="L295:M295"/>
    <mergeCell ref="N295:Q295"/>
    <mergeCell ref="F292:I292"/>
    <mergeCell ref="L292:M292"/>
    <mergeCell ref="N292:Q292"/>
    <mergeCell ref="F293:I293"/>
    <mergeCell ref="L293:M293"/>
    <mergeCell ref="N293:Q293"/>
    <mergeCell ref="F290:I290"/>
    <mergeCell ref="L290:M290"/>
    <mergeCell ref="N290:Q290"/>
    <mergeCell ref="F291:I291"/>
    <mergeCell ref="L291:M291"/>
    <mergeCell ref="N291:Q291"/>
    <mergeCell ref="F288:I288"/>
    <mergeCell ref="L288:M288"/>
    <mergeCell ref="N288:Q288"/>
    <mergeCell ref="F289:I289"/>
    <mergeCell ref="L289:M289"/>
    <mergeCell ref="N289:Q289"/>
    <mergeCell ref="F286:I286"/>
    <mergeCell ref="L286:M286"/>
    <mergeCell ref="N286:Q286"/>
    <mergeCell ref="F287:I287"/>
    <mergeCell ref="L287:M287"/>
    <mergeCell ref="N287:Q287"/>
    <mergeCell ref="F284:I284"/>
    <mergeCell ref="L284:M284"/>
    <mergeCell ref="N284:Q284"/>
    <mergeCell ref="F285:I285"/>
    <mergeCell ref="L285:M285"/>
    <mergeCell ref="N285:Q285"/>
    <mergeCell ref="F282:I282"/>
    <mergeCell ref="L282:M282"/>
    <mergeCell ref="N282:Q282"/>
    <mergeCell ref="F283:I283"/>
    <mergeCell ref="L283:M283"/>
    <mergeCell ref="N283:Q283"/>
    <mergeCell ref="F280:I280"/>
    <mergeCell ref="L280:M280"/>
    <mergeCell ref="N280:Q280"/>
    <mergeCell ref="F281:I281"/>
    <mergeCell ref="L281:M281"/>
    <mergeCell ref="N281:Q281"/>
    <mergeCell ref="F278:I278"/>
    <mergeCell ref="L278:M278"/>
    <mergeCell ref="N278:Q278"/>
    <mergeCell ref="F279:I279"/>
    <mergeCell ref="L279:M279"/>
    <mergeCell ref="N279:Q279"/>
    <mergeCell ref="F276:I276"/>
    <mergeCell ref="L276:M276"/>
    <mergeCell ref="N276:Q276"/>
    <mergeCell ref="F277:I277"/>
    <mergeCell ref="L277:M277"/>
    <mergeCell ref="N277:Q277"/>
    <mergeCell ref="F274:I274"/>
    <mergeCell ref="L274:M274"/>
    <mergeCell ref="N274:Q274"/>
    <mergeCell ref="F275:I275"/>
    <mergeCell ref="L275:M275"/>
    <mergeCell ref="N275:Q275"/>
    <mergeCell ref="F272:I272"/>
    <mergeCell ref="L272:M272"/>
    <mergeCell ref="N272:Q272"/>
    <mergeCell ref="F273:I273"/>
    <mergeCell ref="L273:M273"/>
    <mergeCell ref="N273:Q273"/>
    <mergeCell ref="F270:I270"/>
    <mergeCell ref="L270:M270"/>
    <mergeCell ref="N270:Q270"/>
    <mergeCell ref="F271:I271"/>
    <mergeCell ref="L271:M271"/>
    <mergeCell ref="N271:Q271"/>
    <mergeCell ref="F268:I268"/>
    <mergeCell ref="L268:M268"/>
    <mergeCell ref="N268:Q268"/>
    <mergeCell ref="F269:I269"/>
    <mergeCell ref="L269:M269"/>
    <mergeCell ref="N269:Q269"/>
    <mergeCell ref="F266:I266"/>
    <mergeCell ref="L266:M266"/>
    <mergeCell ref="N266:Q266"/>
    <mergeCell ref="F267:I267"/>
    <mergeCell ref="L267:M267"/>
    <mergeCell ref="N267:Q267"/>
    <mergeCell ref="F264:I264"/>
    <mergeCell ref="L264:M264"/>
    <mergeCell ref="N264:Q264"/>
    <mergeCell ref="F265:I265"/>
    <mergeCell ref="L265:M265"/>
    <mergeCell ref="N265:Q265"/>
    <mergeCell ref="F261:I261"/>
    <mergeCell ref="L261:M261"/>
    <mergeCell ref="N261:Q261"/>
    <mergeCell ref="F263:I263"/>
    <mergeCell ref="L263:M263"/>
    <mergeCell ref="N263:Q263"/>
    <mergeCell ref="F259:I259"/>
    <mergeCell ref="L259:M259"/>
    <mergeCell ref="N259:Q259"/>
    <mergeCell ref="F260:I260"/>
    <mergeCell ref="L260:M260"/>
    <mergeCell ref="N260:Q260"/>
    <mergeCell ref="F257:I257"/>
    <mergeCell ref="L257:M257"/>
    <mergeCell ref="N257:Q257"/>
    <mergeCell ref="F258:I258"/>
    <mergeCell ref="L258:M258"/>
    <mergeCell ref="N258:Q258"/>
    <mergeCell ref="F254:I254"/>
    <mergeCell ref="L254:M254"/>
    <mergeCell ref="N254:Q254"/>
    <mergeCell ref="F255:I255"/>
    <mergeCell ref="L255:M255"/>
    <mergeCell ref="N255:Q255"/>
    <mergeCell ref="F251:I251"/>
    <mergeCell ref="L251:M251"/>
    <mergeCell ref="N251:Q251"/>
    <mergeCell ref="F253:I253"/>
    <mergeCell ref="L253:M253"/>
    <mergeCell ref="N253:Q253"/>
    <mergeCell ref="F249:I249"/>
    <mergeCell ref="L249:M249"/>
    <mergeCell ref="N249:Q249"/>
    <mergeCell ref="F250:I250"/>
    <mergeCell ref="L250:M250"/>
    <mergeCell ref="N250:Q250"/>
    <mergeCell ref="F246:I246"/>
    <mergeCell ref="L246:M246"/>
    <mergeCell ref="N246:Q246"/>
    <mergeCell ref="F248:I248"/>
    <mergeCell ref="L248:M248"/>
    <mergeCell ref="N248:Q248"/>
    <mergeCell ref="F244:I244"/>
    <mergeCell ref="L244:M244"/>
    <mergeCell ref="N244:Q244"/>
    <mergeCell ref="F245:I245"/>
    <mergeCell ref="L245:M245"/>
    <mergeCell ref="N245:Q245"/>
    <mergeCell ref="F242:I242"/>
    <mergeCell ref="L242:M242"/>
    <mergeCell ref="N242:Q242"/>
    <mergeCell ref="F243:I243"/>
    <mergeCell ref="L243:M243"/>
    <mergeCell ref="N243:Q243"/>
    <mergeCell ref="F240:I240"/>
    <mergeCell ref="L240:M240"/>
    <mergeCell ref="N240:Q240"/>
    <mergeCell ref="F241:I241"/>
    <mergeCell ref="L241:M241"/>
    <mergeCell ref="N241:Q241"/>
    <mergeCell ref="F238:I238"/>
    <mergeCell ref="L238:M238"/>
    <mergeCell ref="N238:Q238"/>
    <mergeCell ref="F239:I239"/>
    <mergeCell ref="L239:M239"/>
    <mergeCell ref="N239:Q239"/>
    <mergeCell ref="F236:I236"/>
    <mergeCell ref="L236:M236"/>
    <mergeCell ref="N236:Q236"/>
    <mergeCell ref="F237:I237"/>
    <mergeCell ref="L237:M237"/>
    <mergeCell ref="N237:Q237"/>
    <mergeCell ref="F234:I234"/>
    <mergeCell ref="L234:M234"/>
    <mergeCell ref="N234:Q234"/>
    <mergeCell ref="F235:I235"/>
    <mergeCell ref="L235:M235"/>
    <mergeCell ref="N235:Q235"/>
    <mergeCell ref="F232:I232"/>
    <mergeCell ref="L232:M232"/>
    <mergeCell ref="N232:Q232"/>
    <mergeCell ref="F233:I233"/>
    <mergeCell ref="L233:M233"/>
    <mergeCell ref="N233:Q233"/>
    <mergeCell ref="F227:I227"/>
    <mergeCell ref="L227:M227"/>
    <mergeCell ref="N227:Q227"/>
    <mergeCell ref="F229:I229"/>
    <mergeCell ref="L229:M229"/>
    <mergeCell ref="N229:Q229"/>
    <mergeCell ref="F225:I225"/>
    <mergeCell ref="L225:M225"/>
    <mergeCell ref="N225:Q225"/>
    <mergeCell ref="F226:I226"/>
    <mergeCell ref="L226:M226"/>
    <mergeCell ref="N226:Q226"/>
    <mergeCell ref="F223:I223"/>
    <mergeCell ref="L223:M223"/>
    <mergeCell ref="N223:Q223"/>
    <mergeCell ref="F224:I224"/>
    <mergeCell ref="L224:M224"/>
    <mergeCell ref="N224:Q224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8:I178"/>
    <mergeCell ref="L178:M178"/>
    <mergeCell ref="N178:Q178"/>
    <mergeCell ref="F179:I179"/>
    <mergeCell ref="L179:M179"/>
    <mergeCell ref="N179:Q179"/>
    <mergeCell ref="F176:I176"/>
    <mergeCell ref="L176:M176"/>
    <mergeCell ref="N176:Q176"/>
    <mergeCell ref="F177:I177"/>
    <mergeCell ref="L177:M177"/>
    <mergeCell ref="N177:Q177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F166:I166"/>
    <mergeCell ref="L166:M166"/>
    <mergeCell ref="N166:Q166"/>
    <mergeCell ref="F167:I167"/>
    <mergeCell ref="L167:M167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59:I159"/>
    <mergeCell ref="L159:M159"/>
    <mergeCell ref="N159:Q159"/>
    <mergeCell ref="F160:I160"/>
    <mergeCell ref="L160:M160"/>
    <mergeCell ref="N160:Q160"/>
    <mergeCell ref="F156:I156"/>
    <mergeCell ref="L156:M156"/>
    <mergeCell ref="N156:Q156"/>
    <mergeCell ref="F158:I158"/>
    <mergeCell ref="L158:M158"/>
    <mergeCell ref="N158:Q158"/>
    <mergeCell ref="F154:I154"/>
    <mergeCell ref="L154:M154"/>
    <mergeCell ref="N154:Q154"/>
    <mergeCell ref="F155:I155"/>
    <mergeCell ref="L155:M155"/>
    <mergeCell ref="N155:Q155"/>
    <mergeCell ref="F151:I151"/>
    <mergeCell ref="L151:M151"/>
    <mergeCell ref="N151:Q151"/>
    <mergeCell ref="F153:I153"/>
    <mergeCell ref="L153:M153"/>
    <mergeCell ref="N153:Q153"/>
    <mergeCell ref="F149:I149"/>
    <mergeCell ref="L149:M149"/>
    <mergeCell ref="N149:Q149"/>
    <mergeCell ref="F150:I150"/>
    <mergeCell ref="L150:M150"/>
    <mergeCell ref="N150:Q150"/>
    <mergeCell ref="F146:I146"/>
    <mergeCell ref="L146:M146"/>
    <mergeCell ref="N146:Q146"/>
    <mergeCell ref="F148:I148"/>
    <mergeCell ref="L148:M148"/>
    <mergeCell ref="N148:Q148"/>
    <mergeCell ref="F144:I144"/>
    <mergeCell ref="L144:M144"/>
    <mergeCell ref="N144:Q144"/>
    <mergeCell ref="F145:I145"/>
    <mergeCell ref="L145:M145"/>
    <mergeCell ref="N145:Q145"/>
    <mergeCell ref="F142:I142"/>
    <mergeCell ref="L142:M142"/>
    <mergeCell ref="N142:Q142"/>
    <mergeCell ref="F143:I143"/>
    <mergeCell ref="L143:M143"/>
    <mergeCell ref="N143:Q143"/>
    <mergeCell ref="F140:I140"/>
    <mergeCell ref="L140:M140"/>
    <mergeCell ref="N140:Q140"/>
    <mergeCell ref="F141:I141"/>
    <mergeCell ref="L141:M141"/>
    <mergeCell ref="N141:Q141"/>
    <mergeCell ref="F138:I138"/>
    <mergeCell ref="L138:M138"/>
    <mergeCell ref="N138:Q138"/>
    <mergeCell ref="F139:I139"/>
    <mergeCell ref="L139:M139"/>
    <mergeCell ref="N139:Q139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I116:J116"/>
    <mergeCell ref="N116:Q116"/>
    <mergeCell ref="L118:Q118"/>
    <mergeCell ref="C124:Q124"/>
    <mergeCell ref="F126:P126"/>
    <mergeCell ref="M128:P128"/>
    <mergeCell ref="D114:H114"/>
    <mergeCell ref="I114:J114"/>
    <mergeCell ref="N114:Q114"/>
    <mergeCell ref="D115:H115"/>
    <mergeCell ref="I115:J115"/>
    <mergeCell ref="N115:Q115"/>
    <mergeCell ref="D112:H112"/>
    <mergeCell ref="I112:J112"/>
    <mergeCell ref="N112:Q112"/>
    <mergeCell ref="D113:H113"/>
    <mergeCell ref="I113:J113"/>
    <mergeCell ref="N113:Q113"/>
    <mergeCell ref="N107:Q107"/>
    <mergeCell ref="N108:Q108"/>
    <mergeCell ref="N110:Q110"/>
    <mergeCell ref="D111:H111"/>
    <mergeCell ref="I111:J111"/>
    <mergeCell ref="N111:Q111"/>
    <mergeCell ref="N101:Q101"/>
    <mergeCell ref="N102:Q102"/>
    <mergeCell ref="N103:Q103"/>
    <mergeCell ref="N104:Q104"/>
    <mergeCell ref="N105:Q105"/>
    <mergeCell ref="N106:Q106"/>
    <mergeCell ref="N95:Q95"/>
    <mergeCell ref="N96:Q96"/>
    <mergeCell ref="N97:Q97"/>
    <mergeCell ref="N98:Q98"/>
    <mergeCell ref="N99:Q99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2:J32"/>
    <mergeCell ref="M32:P32"/>
    <mergeCell ref="L34:P34"/>
    <mergeCell ref="C76:Q76"/>
    <mergeCell ref="F78:P78"/>
    <mergeCell ref="M80:P80"/>
    <mergeCell ref="H29:J29"/>
    <mergeCell ref="M29:P29"/>
    <mergeCell ref="H30:J30"/>
    <mergeCell ref="M30:P30"/>
    <mergeCell ref="H31:J31"/>
    <mergeCell ref="M31:P31"/>
    <mergeCell ref="O20:P20"/>
    <mergeCell ref="M23:P23"/>
    <mergeCell ref="M24:P24"/>
    <mergeCell ref="M26:P26"/>
    <mergeCell ref="H28:J28"/>
    <mergeCell ref="M28:P28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33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stankova</cp:lastModifiedBy>
  <dcterms:modified xsi:type="dcterms:W3CDTF">2012-08-28T06:10:39Z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